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8800" windowHeight="12450"/>
  </bookViews>
  <sheets>
    <sheet name="サマリ" sheetId="2" r:id="rId1"/>
    <sheet name="11" sheetId="12" r:id="rId2"/>
    <sheet name="12" sheetId="11" r:id="rId3"/>
    <sheet name="13" sheetId="10" r:id="rId4"/>
    <sheet name="14" sheetId="9" r:id="rId5"/>
    <sheet name="15" sheetId="8" r:id="rId6"/>
  </sheets>
  <externalReferences>
    <externalReference r:id="rId7"/>
  </externalReferences>
  <calcPr calcId="152511"/>
</workbook>
</file>

<file path=xl/calcChain.xml><?xml version="1.0" encoding="utf-8"?>
<calcChain xmlns="http://schemas.openxmlformats.org/spreadsheetml/2006/main">
  <c r="Y9" i="2" l="1"/>
  <c r="Y10" i="2"/>
  <c r="Y11" i="2"/>
  <c r="N7" i="2" l="1"/>
  <c r="N8" i="2" l="1"/>
  <c r="M7" i="2"/>
  <c r="A7" i="2"/>
  <c r="I15" i="2"/>
  <c r="C15" i="2"/>
  <c r="H8" i="2"/>
  <c r="G15" i="2"/>
  <c r="H7" i="2"/>
  <c r="D13" i="2"/>
  <c r="I7" i="2"/>
  <c r="K7" i="2"/>
  <c r="F15" i="2"/>
  <c r="K8" i="2"/>
  <c r="K15" i="2"/>
  <c r="E15" i="2"/>
  <c r="D15" i="2"/>
  <c r="I8" i="2"/>
  <c r="J15" i="2"/>
  <c r="H15" i="2"/>
  <c r="F13" i="2"/>
  <c r="E13" i="2"/>
  <c r="M8" i="2" l="1"/>
  <c r="L8" i="2"/>
  <c r="L7" i="2"/>
  <c r="A8" i="2"/>
  <c r="C1" i="8"/>
  <c r="C1" i="9"/>
  <c r="C1" i="11"/>
  <c r="C1" i="10"/>
  <c r="C1" i="12"/>
  <c r="F5" i="11"/>
  <c r="F5" i="8"/>
  <c r="G5" i="10"/>
  <c r="E5" i="10"/>
  <c r="C5" i="12"/>
  <c r="E5" i="12"/>
  <c r="G5" i="9"/>
  <c r="D5" i="11"/>
  <c r="C5" i="8"/>
  <c r="D5" i="9"/>
  <c r="F5" i="9"/>
  <c r="E5" i="9"/>
  <c r="D5" i="10"/>
  <c r="F5" i="12"/>
  <c r="F5" i="10"/>
  <c r="C5" i="10"/>
  <c r="E5" i="8"/>
  <c r="B5" i="8"/>
  <c r="G5" i="11"/>
  <c r="D5" i="8"/>
  <c r="B5" i="12"/>
  <c r="D5" i="12"/>
  <c r="C5" i="11"/>
  <c r="B5" i="10"/>
  <c r="B5" i="11"/>
  <c r="E5" i="11"/>
  <c r="C5" i="9"/>
  <c r="G5" i="8"/>
  <c r="G5" i="12"/>
  <c r="B5" i="9"/>
  <c r="G13" i="2" l="1"/>
  <c r="H13" i="2"/>
  <c r="J8" i="2"/>
  <c r="Y8" i="2" s="1"/>
  <c r="J7" i="2"/>
  <c r="Y7" i="2" s="1"/>
  <c r="C5" i="2" l="1"/>
  <c r="H16" i="12"/>
  <c r="H15" i="12"/>
  <c r="H14" i="12"/>
  <c r="H13" i="12"/>
  <c r="H12" i="12"/>
  <c r="H11" i="12"/>
  <c r="H10" i="12"/>
  <c r="H9" i="12"/>
  <c r="H8" i="12"/>
  <c r="H7" i="12"/>
  <c r="H16" i="11"/>
  <c r="H15" i="11"/>
  <c r="H14" i="11"/>
  <c r="H13" i="11"/>
  <c r="H12" i="11"/>
  <c r="H11" i="11"/>
  <c r="H10" i="11"/>
  <c r="H9" i="11"/>
  <c r="H8" i="11"/>
  <c r="H7" i="11"/>
  <c r="H16" i="10"/>
  <c r="H15" i="10"/>
  <c r="H14" i="10"/>
  <c r="H13" i="10"/>
  <c r="H12" i="10"/>
  <c r="H11" i="10"/>
  <c r="H10" i="10"/>
  <c r="H9" i="10"/>
  <c r="H8" i="10"/>
  <c r="H7" i="10"/>
  <c r="H16" i="9"/>
  <c r="H15" i="9"/>
  <c r="H14" i="9"/>
  <c r="H13" i="9"/>
  <c r="H12" i="9"/>
  <c r="H11" i="9"/>
  <c r="H10" i="9"/>
  <c r="H9" i="9"/>
  <c r="H8" i="9"/>
  <c r="H7" i="9"/>
  <c r="H16" i="8"/>
  <c r="H15" i="8"/>
  <c r="H14" i="8"/>
  <c r="H13" i="8"/>
  <c r="H12" i="8"/>
  <c r="H11" i="8"/>
  <c r="H10" i="8"/>
  <c r="H9" i="8"/>
  <c r="H8" i="8"/>
  <c r="H7" i="8"/>
  <c r="H6" i="8" l="1"/>
  <c r="D1" i="8" s="1"/>
  <c r="H6" i="11"/>
  <c r="D1" i="11" s="1"/>
  <c r="F8" i="2" s="1"/>
  <c r="H6" i="10"/>
  <c r="D1" i="10" s="1"/>
  <c r="H6" i="9"/>
  <c r="D1" i="9" s="1"/>
  <c r="H6" i="12"/>
  <c r="P7" i="2"/>
  <c r="O7" i="2"/>
  <c r="P8" i="2"/>
  <c r="O8" i="2"/>
  <c r="G8" i="2" l="1"/>
  <c r="D1" i="12"/>
  <c r="F7" i="2" s="1"/>
  <c r="G7" i="2" s="1"/>
  <c r="R7" i="2" l="1"/>
  <c r="U7" i="2"/>
  <c r="V7" i="2" s="1"/>
  <c r="S8" i="2"/>
  <c r="T8" i="2" s="1"/>
  <c r="U8" i="2"/>
  <c r="V8" i="2" s="1"/>
  <c r="W7" i="2"/>
  <c r="X7" i="2" s="1"/>
  <c r="W8" i="2"/>
  <c r="X8" i="2" s="1"/>
  <c r="R8" i="2"/>
  <c r="S7" i="2"/>
  <c r="T7" i="2" s="1"/>
</calcChain>
</file>

<file path=xl/sharedStrings.xml><?xml version="1.0" encoding="utf-8"?>
<sst xmlns="http://schemas.openxmlformats.org/spreadsheetml/2006/main" count="56" uniqueCount="39">
  <si>
    <t>銘柄コード</t>
    <rPh sb="0" eb="2">
      <t>メイガラ</t>
    </rPh>
    <phoneticPr fontId="2"/>
  </si>
  <si>
    <t>***END***</t>
  </si>
  <si>
    <t>コード</t>
    <phoneticPr fontId="2"/>
  </si>
  <si>
    <t>銘柄名</t>
    <rPh sb="0" eb="2">
      <t>メイガラ</t>
    </rPh>
    <rPh sb="2" eb="3">
      <t>メイ</t>
    </rPh>
    <phoneticPr fontId="2"/>
  </si>
  <si>
    <t>数量</t>
    <rPh sb="0" eb="2">
      <t>スウリョウ</t>
    </rPh>
    <phoneticPr fontId="2"/>
  </si>
  <si>
    <t>注文可能</t>
    <rPh sb="0" eb="2">
      <t>チュウモン</t>
    </rPh>
    <rPh sb="2" eb="4">
      <t>カノウ</t>
    </rPh>
    <phoneticPr fontId="2"/>
  </si>
  <si>
    <t>評価金額</t>
    <rPh sb="0" eb="2">
      <t>ヒョウカ</t>
    </rPh>
    <rPh sb="2" eb="4">
      <t>キンガク</t>
    </rPh>
    <phoneticPr fontId="2"/>
  </si>
  <si>
    <t>評価益</t>
    <rPh sb="0" eb="2">
      <t>ヒョウカ</t>
    </rPh>
    <rPh sb="2" eb="3">
      <t>エキ</t>
    </rPh>
    <phoneticPr fontId="2"/>
  </si>
  <si>
    <t>売買区分</t>
    <rPh sb="0" eb="2">
      <t>バイバイ</t>
    </rPh>
    <rPh sb="2" eb="4">
      <t>クブン</t>
    </rPh>
    <phoneticPr fontId="2"/>
  </si>
  <si>
    <t>N225</t>
    <phoneticPr fontId="2"/>
  </si>
  <si>
    <t>現在値</t>
    <rPh sb="0" eb="2">
      <t>ゲンザイ</t>
    </rPh>
    <rPh sb="2" eb="3">
      <t>アタイ</t>
    </rPh>
    <phoneticPr fontId="2"/>
  </si>
  <si>
    <t>単元</t>
    <rPh sb="0" eb="2">
      <t>タンゲン</t>
    </rPh>
    <phoneticPr fontId="2"/>
  </si>
  <si>
    <t>発注関数</t>
    <rPh sb="0" eb="2">
      <t>ハッチュウ</t>
    </rPh>
    <rPh sb="2" eb="4">
      <t>カンスウ</t>
    </rPh>
    <phoneticPr fontId="2"/>
  </si>
  <si>
    <t>約定日付</t>
    <rPh sb="0" eb="2">
      <t>ヤクジョウ</t>
    </rPh>
    <rPh sb="2" eb="4">
      <t>ヒヅケ</t>
    </rPh>
    <phoneticPr fontId="2"/>
  </si>
  <si>
    <t>取得単価</t>
    <rPh sb="0" eb="2">
      <t>シュトク</t>
    </rPh>
    <rPh sb="2" eb="4">
      <t>タンカ</t>
    </rPh>
    <phoneticPr fontId="2"/>
  </si>
  <si>
    <t>新規売り</t>
    <rPh sb="0" eb="2">
      <t>シンキ</t>
    </rPh>
    <rPh sb="2" eb="3">
      <t>ウ</t>
    </rPh>
    <phoneticPr fontId="2"/>
  </si>
  <si>
    <t>売り買い</t>
    <rPh sb="0" eb="1">
      <t>ウ</t>
    </rPh>
    <rPh sb="2" eb="3">
      <t>カ</t>
    </rPh>
    <phoneticPr fontId="2"/>
  </si>
  <si>
    <t>買建玉数量</t>
    <rPh sb="0" eb="1">
      <t>カ</t>
    </rPh>
    <rPh sb="1" eb="2">
      <t>タ</t>
    </rPh>
    <rPh sb="2" eb="3">
      <t>タマ</t>
    </rPh>
    <rPh sb="3" eb="5">
      <t>スウリョウ</t>
    </rPh>
    <phoneticPr fontId="2"/>
  </si>
  <si>
    <t>売建玉数量</t>
    <rPh sb="0" eb="1">
      <t>ウ</t>
    </rPh>
    <rPh sb="1" eb="2">
      <t>タ</t>
    </rPh>
    <rPh sb="2" eb="3">
      <t>タマ</t>
    </rPh>
    <rPh sb="3" eb="5">
      <t>スウリョウ</t>
    </rPh>
    <phoneticPr fontId="2"/>
  </si>
  <si>
    <t>高安判定</t>
    <rPh sb="0" eb="2">
      <t>タカヤス</t>
    </rPh>
    <rPh sb="2" eb="4">
      <t>ハンテイ</t>
    </rPh>
    <phoneticPr fontId="2"/>
  </si>
  <si>
    <t>シート</t>
    <phoneticPr fontId="2"/>
  </si>
  <si>
    <t>発注判定時刻</t>
    <rPh sb="0" eb="2">
      <t>ハッチュウ</t>
    </rPh>
    <rPh sb="2" eb="4">
      <t>ハンテイ</t>
    </rPh>
    <rPh sb="4" eb="6">
      <t>ジコク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</si>
  <si>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</si>
  <si>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</si>
  <si>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新規買い</t>
    <rPh sb="0" eb="2">
      <t>シンキ</t>
    </rPh>
    <rPh sb="2" eb="3">
      <t>カ</t>
    </rPh>
    <phoneticPr fontId="2"/>
  </si>
  <si>
    <t>発注関数</t>
    <rPh sb="0" eb="2">
      <t>ハッチュウ</t>
    </rPh>
    <rPh sb="2" eb="4">
      <t>カンスウ</t>
    </rPh>
    <phoneticPr fontId="2"/>
  </si>
  <si>
    <t>取引手法</t>
    <rPh sb="0" eb="2">
      <t>トリヒキ</t>
    </rPh>
    <rPh sb="2" eb="4">
      <t>シュホウ</t>
    </rPh>
    <phoneticPr fontId="2"/>
  </si>
  <si>
    <t>順張り</t>
  </si>
  <si>
    <t>ポジション判定</t>
    <rPh sb="5" eb="7">
      <t>ハンテイ</t>
    </rPh>
    <phoneticPr fontId="2"/>
  </si>
  <si>
    <t>決済買い区分</t>
    <rPh sb="0" eb="2">
      <t>ケッサイ</t>
    </rPh>
    <rPh sb="2" eb="3">
      <t>カ</t>
    </rPh>
    <rPh sb="4" eb="6">
      <t>クブン</t>
    </rPh>
    <phoneticPr fontId="2"/>
  </si>
  <si>
    <t>決済売り区分</t>
    <rPh sb="0" eb="2">
      <t>ケッサイ</t>
    </rPh>
    <rPh sb="2" eb="3">
      <t>ウ</t>
    </rPh>
    <rPh sb="4" eb="6">
      <t>クブン</t>
    </rPh>
    <phoneticPr fontId="2"/>
  </si>
  <si>
    <t>基準値段の9％下</t>
    <rPh sb="0" eb="2">
      <t>キジュン</t>
    </rPh>
    <rPh sb="2" eb="4">
      <t>ネダン</t>
    </rPh>
    <rPh sb="7" eb="8">
      <t>シタ</t>
    </rPh>
    <phoneticPr fontId="2"/>
  </si>
  <si>
    <t>取引パスワード</t>
    <rPh sb="0" eb="2">
      <t>トリヒキ</t>
    </rPh>
    <phoneticPr fontId="2"/>
  </si>
  <si>
    <t>取引株数</t>
    <rPh sb="0" eb="2">
      <t>トリヒキ</t>
    </rPh>
    <rPh sb="2" eb="4">
      <t>カブスウ</t>
    </rPh>
    <phoneticPr fontId="2"/>
  </si>
  <si>
    <t>売買代金チェック</t>
    <rPh sb="0" eb="2">
      <t>バイバイ</t>
    </rPh>
    <rPh sb="2" eb="4">
      <t>ダイキン</t>
    </rPh>
    <phoneticPr fontId="2"/>
  </si>
  <si>
    <t>想定ポジション金額が左記以上の場合には発注しない</t>
    <rPh sb="0" eb="2">
      <t>ソウテイ</t>
    </rPh>
    <rPh sb="7" eb="9">
      <t>キンガク</t>
    </rPh>
    <rPh sb="10" eb="12">
      <t>サキ</t>
    </rPh>
    <rPh sb="12" eb="14">
      <t>イジョウ</t>
    </rPh>
    <rPh sb="15" eb="17">
      <t>バアイ</t>
    </rPh>
    <rPh sb="19" eb="21">
      <t>ハッチュウ</t>
    </rPh>
    <phoneticPr fontId="2"/>
  </si>
  <si>
    <t>売買代金</t>
    <rPh sb="0" eb="2">
      <t>バイバイ</t>
    </rPh>
    <rPh sb="2" eb="4">
      <t>ダイキン</t>
    </rPh>
    <phoneticPr fontId="2"/>
  </si>
  <si>
    <t>***END***</t>
    <phoneticPr fontId="2"/>
  </si>
  <si>
    <t>***END***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</si>
</sst>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3" fillId="0" borderId="0"/>
  </cellStyleXfs>
  <cellXfs count="23">
    <xf numFmtId="0" fontId="0" fillId="0" borderId="0" xfId="0"/>
    <xf numFmtId="14" fontId="0" fillId="0" borderId="0" xfId="0" applyNumberFormat="1"/>
    <xf numFmtId="38" fontId="0" fillId="0" borderId="0" xfId="1" applyFont="1" applyAlignment="1"/>
    <xf numFmtId="0" fontId="0" fillId="0" borderId="0" xfId="0" applyAlignment="1">
      <alignment horizontal="center"/>
    </xf>
    <xf numFmtId="3" fontId="0" fillId="0" borderId="0" xfId="0" applyNumberFormat="1"/>
    <xf numFmtId="0" fontId="0" fillId="0" borderId="0" xfId="0" applyFill="1"/>
    <xf numFmtId="0" fontId="0" fillId="0" borderId="1" xfId="0" applyBorder="1"/>
    <xf numFmtId="0" fontId="0" fillId="2" borderId="2" xfId="0" applyFill="1" applyBorder="1" applyAlignment="1">
      <alignment horizontal="center"/>
    </xf>
    <xf numFmtId="38" fontId="0" fillId="2" borderId="3" xfId="1" applyFont="1" applyFill="1" applyBorder="1" applyAlignment="1">
      <alignment horizontal="center"/>
    </xf>
    <xf numFmtId="0" fontId="0" fillId="0" borderId="4" xfId="0" applyBorder="1"/>
    <xf numFmtId="0" fontId="0" fillId="0" borderId="5" xfId="0" applyBorder="1" applyAlignment="1">
      <alignment horizontal="center"/>
    </xf>
    <xf numFmtId="38" fontId="0" fillId="0" borderId="6" xfId="1" applyFont="1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38" fontId="0" fillId="0" borderId="0" xfId="0" applyNumberFormat="1" applyFill="1"/>
    <xf numFmtId="0" fontId="0" fillId="0" borderId="0" xfId="0" applyFill="1" applyAlignment="1">
      <alignment horizontal="center"/>
    </xf>
    <xf numFmtId="38" fontId="0" fillId="0" borderId="0" xfId="1" applyFont="1" applyFill="1" applyAlignment="1"/>
    <xf numFmtId="0" fontId="0" fillId="3" borderId="0" xfId="0" applyFill="1" applyBorder="1"/>
    <xf numFmtId="38" fontId="0" fillId="3" borderId="0" xfId="0" applyNumberFormat="1" applyFill="1"/>
    <xf numFmtId="0" fontId="0" fillId="3" borderId="0" xfId="0" applyFill="1"/>
    <xf numFmtId="0" fontId="0" fillId="3" borderId="0" xfId="0" applyFill="1" applyAlignment="1">
      <alignment horizontal="center"/>
    </xf>
    <xf numFmtId="38" fontId="0" fillId="2" borderId="0" xfId="1" applyFont="1" applyFill="1" applyAlignment="1"/>
    <xf numFmtId="0" fontId="3" fillId="2" borderId="0" xfId="2" applyFill="1"/>
  </cellXfs>
  <cellStyles count="3">
    <cellStyle name="桁区切り" xfId="1" builtinId="6"/>
    <cellStyle name="標準" xfId="0" builtinId="0"/>
    <cellStyle name="標準_サマリ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oson2.rtdserver2">
      <tp t="e">
        <v>#N/A</v>
        <stp/>
        <stp>サマリ</stp>
        <stp>=POSITION(2,"1","保有数量",E17)</stp>
        <tr r="E15" s="2"/>
      </tp>
    </main>
    <main first="oson2.rtdserver2">
      <tp t="e">
        <v>#N/A</v>
        <stp/>
        <stp>サマリ</stp>
        <stp>=POSITION(2,"1","可能数量",F17)</stp>
        <tr r="F15" s="2"/>
      </tp>
      <tp t="e">
        <v>#N/A</v>
        <stp/>
        <stp>サマリ</stp>
        <stp>=POSITION(2,"1","約定日付",J17)</stp>
        <tr r="J15" s="2"/>
      </tp>
    </main>
    <main first="oson2.rtdserver">
      <tp t="s">
        <v>10:41</v>
        <stp/>
        <stp>IDX</stp>
        <stp>N225</stp>
        <stp>時刻</stp>
        <tr r="D13" s="2"/>
      </tp>
    </main>
    <main first="oson2.rtdserver2">
      <tp t="e">
        <v>#N/A</v>
        <stp/>
        <stp>サマリ</stp>
        <stp>=POSITION(2,"1","建売買区分",I17)</stp>
        <tr r="I15" s="2"/>
      </tp>
      <tp t="e">
        <v>#N/A</v>
        <stp/>
        <stp>サマリ</stp>
        <stp>=POSITION(2,"1","銘柄名",D17)</stp>
        <tr r="D15" s="2"/>
      </tp>
      <tp t="e">
        <v>#N/A</v>
        <stp/>
        <stp>サマリ</stp>
        <stp>=POSITION(2,"1","評価金額",G17)</stp>
        <tr r="G15" s="2"/>
      </tp>
    </main>
    <main first="oson2.rtdserver">
      <tp t="s">
        <v>73.23</v>
        <stp/>
        <stp>IDX</stp>
        <stp>N225</stp>
        <stp>前日終値比幅</stp>
        <tr r="F13" s="2"/>
      </tp>
    </main>
    <main first="oson2.rtdserver2">
      <tp t="e">
        <v>#N/A</v>
        <stp/>
        <stp>サマリ</stp>
        <stp>=POSITION(2,"1","取得単価",K17)</stp>
        <tr r="K15" s="2"/>
      </tp>
      <tp t="e">
        <v>#N/A</v>
        <stp/>
        <stp>11</stp>
        <stp>=CANDLE(C1,"","D","1","終値",F6,"D","1")</stp>
        <tr r="F5" s="12"/>
      </tp>
      <tp t="e">
        <v>#N/A</v>
        <stp/>
        <stp>13</stp>
        <stp>=CANDLE(C1,"","D","1","終値",F6,"D","1")</stp>
        <tr r="F5" s="10"/>
      </tp>
      <tp t="e">
        <v>#N/A</v>
        <stp/>
        <stp>12</stp>
        <stp>=CANDLE(C1,"","D","1","終値",F6,"D","1")</stp>
        <tr r="F5" s="11"/>
      </tp>
      <tp t="e">
        <v>#N/A</v>
        <stp/>
        <stp>15</stp>
        <stp>=CANDLE(C1,"","D","1","終値",F6,"D","1")</stp>
        <tr r="F5" s="8"/>
      </tp>
      <tp t="e">
        <v>#N/A</v>
        <stp/>
        <stp>14</stp>
        <stp>=CANDLE(C1,"","D","1","終値",F6,"D","1")</stp>
        <tr r="F5" s="9"/>
      </tp>
    </main>
    <main first="oson2.rtdserver">
      <tp>
        <v>100</v>
        <stp/>
        <stp>QUOTE</stp>
        <stp>8604</stp>
        <stp/>
        <stp>売買単位</stp>
        <tr r="I8" s="2"/>
      </tp>
      <tp>
        <v>100</v>
        <stp/>
        <stp>QUOTE</stp>
        <stp>4321</stp>
        <stp/>
        <stp>売買単位</stp>
        <tr r="I7" s="2"/>
      </tp>
      <tp t="s">
        <v>野村</v>
        <stp/>
        <stp>QUOTE</stp>
        <stp>8604</stp>
        <stp/>
        <stp>銘柄名</stp>
        <tr r="H8" s="2"/>
      </tp>
      <tp t="s">
        <v>ケネディクス</v>
        <stp/>
        <stp>QUOTE</stp>
        <stp>4321</stp>
        <stp/>
        <stp>銘柄名</stp>
        <tr r="H7" s="2"/>
      </tp>
    </main>
    <main first="oson2.rtdserver2">
      <tp t="e">
        <v>#N/A</v>
        <stp/>
        <stp>12</stp>
        <stp>=CANDLE(C1,"","D","1","出来高",G6,"D","1")</stp>
        <tr r="G5" s="11"/>
      </tp>
      <tp t="e">
        <v>#N/A</v>
        <stp/>
        <stp>13</stp>
        <stp>=CANDLE(C1,"","D","1","出来高",G6,"D","1")</stp>
        <tr r="G5" s="10"/>
      </tp>
      <tp t="e">
        <v>#N/A</v>
        <stp/>
        <stp>11</stp>
        <stp>=CANDLE(C1,"","D","1","出来高",G6,"D","1")</stp>
        <tr r="G5" s="12"/>
      </tp>
      <tp t="e">
        <v>#N/A</v>
        <stp/>
        <stp>14</stp>
        <stp>=CANDLE(C1,"","D","1","出来高",G6,"D","1")</stp>
        <tr r="G5" s="9"/>
      </tp>
      <tp t="e">
        <v>#N/A</v>
        <stp/>
        <stp>15</stp>
        <stp>=CANDLE(C1,"","D","1","出来高",G6,"D","1")</stp>
        <tr r="G5" s="8"/>
      </tp>
      <tp t="e">
        <v>#N/A</v>
        <stp/>
        <stp>15</stp>
        <stp>=CANDLE(C1,"","D","1","安値",E6,"D","1")</stp>
        <tr r="E5" s="8"/>
      </tp>
      <tp t="e">
        <v>#N/A</v>
        <stp/>
        <stp>14</stp>
        <stp>=CANDLE(C1,"","D","1","安値",E6,"D","1")</stp>
        <tr r="E5" s="9"/>
      </tp>
      <tp t="e">
        <v>#N/A</v>
        <stp/>
        <stp>13</stp>
        <stp>=CANDLE(C1,"","D","1","安値",E6,"D","1")</stp>
        <tr r="E5" s="10"/>
      </tp>
      <tp t="e">
        <v>#N/A</v>
        <stp/>
        <stp>12</stp>
        <stp>=CANDLE(C1,"","D","1","安値",E6,"D","1")</stp>
        <tr r="E5" s="11"/>
      </tp>
      <tp t="e">
        <v>#N/A</v>
        <stp/>
        <stp>11</stp>
        <stp>=CANDLE(C1,"","D","1","安値",E6,"D","1")</stp>
        <tr r="E5" s="12"/>
      </tp>
      <tp t="e">
        <v>#N/A</v>
        <stp/>
        <stp>15</stp>
        <stp>=CANDLE(C1,"","D","1","取引日付",B6,"D","1")</stp>
        <tr r="B5" s="8"/>
      </tp>
      <tp t="e">
        <v>#N/A</v>
        <stp/>
        <stp>14</stp>
        <stp>=CANDLE(C1,"","D","1","取引日付",B6,"D","1")</stp>
        <tr r="B5" s="9"/>
      </tp>
      <tp t="e">
        <v>#N/A</v>
        <stp/>
        <stp>11</stp>
        <stp>=CANDLE(C1,"","D","1","取引日付",B6,"D","1")</stp>
        <tr r="B5" s="12"/>
      </tp>
      <tp t="e">
        <v>#N/A</v>
        <stp/>
        <stp>13</stp>
        <stp>=CANDLE(C1,"","D","1","取引日付",B6,"D","1")</stp>
        <tr r="B5" s="10"/>
      </tp>
      <tp t="e">
        <v>#N/A</v>
        <stp/>
        <stp>12</stp>
        <stp>=CANDLE(C1,"","D","1","取引日付",B6,"D","1")</stp>
        <tr r="B5" s="11"/>
      </tp>
      <tp t="e">
        <v>#N/A</v>
        <stp/>
        <stp>サマリ</stp>
        <stp>=POSITION(2,"1","銘柄コード",C17)</stp>
        <tr r="C15" s="2"/>
      </tp>
    </main>
    <main first="oson2.rtdserver">
      <tp t="s">
        <v>23836.6</v>
        <stp/>
        <stp>IDX</stp>
        <stp>N225</stp>
        <stp>現在値</stp>
        <tr r="E13" s="2"/>
      </tp>
    </main>
    <main first="oson2.rtdserver2">
      <tp t="e">
        <v>#N/A</v>
        <stp/>
        <stp>サマリ</stp>
        <stp>=POSITION(2,"1","評価損益額",H17)</stp>
        <tr r="H15" s="2"/>
      </tp>
      <tp t="e">
        <v>#N/A</v>
        <stp/>
        <stp>14</stp>
        <stp>=CANDLE(C1,"","D","1","高値",D6,"D","1")</stp>
        <tr r="D5" s="9"/>
      </tp>
      <tp t="e">
        <v>#N/A</v>
        <stp/>
        <stp>15</stp>
        <stp>=CANDLE(C1,"","D","1","高値",D6,"D","1")</stp>
        <tr r="D5" s="8"/>
      </tp>
      <tp t="e">
        <v>#N/A</v>
        <stp/>
        <stp>12</stp>
        <stp>=CANDLE(C1,"","D","1","高値",D6,"D","1")</stp>
        <tr r="D5" s="11"/>
      </tp>
      <tp t="e">
        <v>#N/A</v>
        <stp/>
        <stp>13</stp>
        <stp>=CANDLE(C1,"","D","1","高値",D6,"D","1")</stp>
        <tr r="D5" s="10"/>
      </tp>
      <tp t="e">
        <v>#N/A</v>
        <stp/>
        <stp>11</stp>
        <stp>=CANDLE(C1,"","D","1","高値",D6,"D","1")</stp>
        <tr r="D5" s="12"/>
      </tp>
      <tp t="e">
        <v>#N/A</v>
        <stp/>
        <stp>15</stp>
        <stp>=CANDLE(C1,"","D","1","始値",C6,"D","1")</stp>
        <tr r="C5" s="8"/>
      </tp>
      <tp t="e">
        <v>#N/A</v>
        <stp/>
        <stp>14</stp>
        <stp>=CANDLE(C1,"","D","1","始値",C6,"D","1")</stp>
        <tr r="C5" s="9"/>
      </tp>
      <tp t="e">
        <v>#N/A</v>
        <stp/>
        <stp>11</stp>
        <stp>=CANDLE(C1,"","D","1","始値",C6,"D","1")</stp>
        <tr r="C5" s="12"/>
      </tp>
      <tp t="e">
        <v>#N/A</v>
        <stp/>
        <stp>13</stp>
        <stp>=CANDLE(C1,"","D","1","始値",C6,"D","1")</stp>
        <tr r="C5" s="10"/>
      </tp>
      <tp t="e">
        <v>#N/A</v>
        <stp/>
        <stp>12</stp>
        <stp>=CANDLE(C1,"","D","1","始値",C6,"D","1")</stp>
        <tr r="C5" s="11"/>
      </tp>
    </main>
    <main first="oson2.rtdserver">
      <tp>
        <v>705</v>
        <stp/>
        <stp>QUOTE</stp>
        <stp>4321</stp>
        <stp/>
        <stp>基準値</stp>
        <tr r="K7" s="2"/>
        <tr r="K7" s="2"/>
      </tp>
      <tp>
        <v>730.4</v>
        <stp/>
        <stp>QUOTE</stp>
        <stp>8604</stp>
        <stp/>
        <stp>基準値</stp>
        <tr r="K8" s="2"/>
        <tr r="K8" s="2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volatileDependencies" Target="volatileDependenci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Okasan%20Online%20Securities%20Co.,Ltd\&#23713;&#19977;RSS\&#23713;&#19977;R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ANDLE"/>
      <definedName name="IDX"/>
      <definedName name="MARGINORDER"/>
      <definedName name="POSITION"/>
      <definedName name="QUOTE"/>
      <definedName name="REPAYMENTORD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22"/>
  <sheetViews>
    <sheetView tabSelected="1" zoomScale="70" zoomScaleNormal="70" workbookViewId="0">
      <selection activeCell="K2" sqref="K2"/>
    </sheetView>
  </sheetViews>
  <sheetFormatPr defaultRowHeight="13.5" x14ac:dyDescent="0.15"/>
  <cols>
    <col min="1" max="1" width="7.875" bestFit="1" customWidth="1"/>
    <col min="2" max="2" width="13" bestFit="1" customWidth="1"/>
    <col min="5" max="5" width="9.375" customWidth="1"/>
    <col min="7" max="7" width="12.875" customWidth="1"/>
    <col min="8" max="8" width="9.75" customWidth="1"/>
    <col min="13" max="13" width="9.5" bestFit="1" customWidth="1"/>
    <col min="15" max="15" width="10.75" bestFit="1" customWidth="1"/>
  </cols>
  <sheetData>
    <row r="1" spans="1:25" ht="14.25" thickBot="1" x14ac:dyDescent="0.2"/>
    <row r="2" spans="1:25" ht="25.5" customHeight="1" thickBot="1" x14ac:dyDescent="0.2">
      <c r="B2" s="9"/>
      <c r="C2" s="10" t="s">
        <v>22</v>
      </c>
      <c r="D2" s="11" t="s">
        <v>23</v>
      </c>
      <c r="G2" s="3"/>
      <c r="H2" s="3"/>
    </row>
    <row r="3" spans="1:25" ht="25.5" customHeight="1" thickTop="1" thickBot="1" x14ac:dyDescent="0.2">
      <c r="B3" s="6" t="s">
        <v>21</v>
      </c>
      <c r="C3" s="7">
        <v>14</v>
      </c>
      <c r="D3" s="8">
        <v>58</v>
      </c>
      <c r="G3" s="3"/>
      <c r="H3" s="3"/>
    </row>
    <row r="4" spans="1:25" ht="25.5" customHeight="1" x14ac:dyDescent="0.15">
      <c r="B4" s="12" t="s">
        <v>32</v>
      </c>
      <c r="C4" s="22"/>
      <c r="G4" s="3"/>
      <c r="H4" s="3"/>
    </row>
    <row r="5" spans="1:25" ht="25.5" customHeight="1" x14ac:dyDescent="0.15">
      <c r="A5" s="2"/>
      <c r="B5" s="2" t="s">
        <v>34</v>
      </c>
      <c r="C5" t="str">
        <f>IF(SUM(Y7:Y11)&lt;D5,"ok","ng")</f>
        <v>ok</v>
      </c>
      <c r="D5" s="21">
        <v>190000</v>
      </c>
      <c r="E5" t="s">
        <v>35</v>
      </c>
    </row>
    <row r="6" spans="1:25" ht="25.5" customHeight="1" x14ac:dyDescent="0.15">
      <c r="B6" t="s">
        <v>20</v>
      </c>
      <c r="C6" t="s">
        <v>2</v>
      </c>
      <c r="D6" t="s">
        <v>33</v>
      </c>
      <c r="E6" t="s">
        <v>26</v>
      </c>
      <c r="F6" t="s">
        <v>19</v>
      </c>
      <c r="G6" t="s">
        <v>28</v>
      </c>
      <c r="H6" t="s">
        <v>3</v>
      </c>
      <c r="I6" t="s">
        <v>11</v>
      </c>
      <c r="J6" t="s">
        <v>10</v>
      </c>
      <c r="K6" t="s">
        <v>31</v>
      </c>
      <c r="L6" t="s">
        <v>17</v>
      </c>
      <c r="M6" t="s">
        <v>18</v>
      </c>
      <c r="N6" t="s">
        <v>16</v>
      </c>
      <c r="O6" t="s">
        <v>13</v>
      </c>
      <c r="P6" t="s">
        <v>14</v>
      </c>
      <c r="Q6" s="12" t="s">
        <v>15</v>
      </c>
      <c r="R6" s="12" t="s">
        <v>12</v>
      </c>
      <c r="S6" s="12" t="s">
        <v>29</v>
      </c>
      <c r="T6" s="12" t="s">
        <v>12</v>
      </c>
      <c r="U6" s="12" t="s">
        <v>24</v>
      </c>
      <c r="V6" s="12" t="s">
        <v>25</v>
      </c>
      <c r="W6" s="12" t="s">
        <v>30</v>
      </c>
      <c r="X6" s="12" t="s">
        <v>12</v>
      </c>
      <c r="Y6" s="13" t="s">
        <v>36</v>
      </c>
    </row>
    <row r="7" spans="1:25" ht="25.5" customHeight="1" x14ac:dyDescent="0.15">
      <c r="A7" s="16">
        <f ca="1">TODAY()</f>
        <v>43119</v>
      </c>
      <c r="B7" s="16">
        <v>11</v>
      </c>
      <c r="C7" s="5">
        <v>4321</v>
      </c>
      <c r="D7" s="5">
        <v>100</v>
      </c>
      <c r="E7" s="5" t="s">
        <v>27</v>
      </c>
      <c r="F7" s="5" t="str">
        <f>+'11'!D1</f>
        <v/>
      </c>
      <c r="G7" s="5" t="str">
        <f>IF(AND(E7="順張り",F7="高安割れ"),"uri",IF(AND(E7="逆張り",F7="高安超え"),"uri",IF(AND(E7="順張り",F7&lt;&gt;"高安割れ"),"kai",IF(AND(E7="逆張り",F7&lt;&gt;"高安超え"),"kai",""))))</f>
        <v>kai</v>
      </c>
      <c r="H7" s="5" t="str">
        <f>[1]!QUOTE(C7,"","銘柄名")</f>
        <v>ケネディクス</v>
      </c>
      <c r="I7" s="5">
        <f>[1]!QUOTE(C7,"","売買単位")</f>
        <v>100</v>
      </c>
      <c r="J7" s="5">
        <f>+'11'!F6</f>
        <v>707</v>
      </c>
      <c r="K7" s="5">
        <f>IF([1]!QUOTE(C7,"","基準値")*1&gt;999,ROUNDUP([1]!QUOTE(C7,"","基準値")*0.91,-1),ROUNDUP([1]!QUOTE(C7,"","基準値")*0.91,0))</f>
        <v>642</v>
      </c>
      <c r="L7" s="5">
        <f>IF(N7="買",IF(ISERROR(VLOOKUP(C7,$C$17:$I$39,3,FALSE))=TRUE,0,VLOOKUP(C7,$C$17:$I$39,3,FALSE)),0)</f>
        <v>0</v>
      </c>
      <c r="M7" s="5">
        <f>IF(N7="売",IF(ISERROR(VLOOKUP(C7,$C$17:$I$39,3,FALSE))=TRUE,0,VLOOKUP(C7,$C$17:$I$39,3,FALSE)),0)</f>
        <v>0</v>
      </c>
      <c r="N7" s="15" t="str">
        <f>IF(ISERROR(VLOOKUP(C7,$C$17:$I$39,7,FALSE))=TRUE,"-",VLOOKUP(C7,$C$17:$I$39,7,FALSE))</f>
        <v>-</v>
      </c>
      <c r="O7" s="5">
        <f>IF(ISERROR(VLOOKUP(C7,$C$17:$K$39,8,FALSE))=TRUE,0,VLOOKUP(C7,$C$17:$K$39,8,FALSE))</f>
        <v>0</v>
      </c>
      <c r="P7" s="5">
        <f>IF(ISERROR(VLOOKUP(C7,$C$17:$K$39,9,FALSE))=TRUE,0,VLOOKUP(C7,$C$17:$K$39,9,FALSE))</f>
        <v>0</v>
      </c>
      <c r="Q7" s="17"/>
      <c r="R7" s="13" t="str">
        <f>IF(AND($G$13=$C$3,$H$13=$D$3,Q7="新規売り"),[1]!MARGINORDER(C7,"東証","1",4,K7,D7,"T","","",1,1,$C$4,A7&amp;"ns","","",1,1),"-")</f>
        <v>-</v>
      </c>
      <c r="S7" s="13" t="str">
        <f>IF(AND(M7&gt;0,G7&lt;&gt;"uri"),"決済買い","-")</f>
        <v>-</v>
      </c>
      <c r="T7" s="13" t="str">
        <f>IF(AND($G$13=$C$3,$H$13=$D$3,S7="決済買い"),[1]!REPAYMENTORDER(C7,"東証","3",5,0,M7,"T","","",P7,O7,1,1,$C$4,A7&amp;"rb","","",1,1),"-")</f>
        <v>-</v>
      </c>
      <c r="U7" s="13" t="str">
        <f>IF(AND(C5="ok",G7="kai",L7=0),"新規買い","-")</f>
        <v>新規買い</v>
      </c>
      <c r="V7" s="13" t="str">
        <f>IF(AND($G$13=$C$3,$H$13=$D$3,U7="新規買い"),[1]!MARGINORDER(C7,"東証","3",5,0,D7,"T","","",1,1,$C$4,A7&amp;"nb","","",1,1),"-")</f>
        <v>-</v>
      </c>
      <c r="W7" s="13" t="str">
        <f>IF(AND(L7&gt;0,G7&lt;&gt;"kai"),"決済売り","-")</f>
        <v>-</v>
      </c>
      <c r="X7" s="13" t="str">
        <f>IF(AND($G$13=$C$3,$H$13=$D$3,W7="決済売り"),[1]!REPAYMENTORDER(C7,"東証","1",5,0,L7,"T","","",P7,O7,1,1,$C$4,A7&amp;"rs","","",1,1),"-")</f>
        <v>-</v>
      </c>
      <c r="Y7">
        <f>+J7*D7</f>
        <v>70700</v>
      </c>
    </row>
    <row r="8" spans="1:25" ht="25.5" customHeight="1" x14ac:dyDescent="0.15">
      <c r="A8" s="14">
        <f ca="1">+A7+10000</f>
        <v>53119</v>
      </c>
      <c r="B8" s="14">
        <v>12</v>
      </c>
      <c r="C8" s="5">
        <v>8604</v>
      </c>
      <c r="D8" s="5">
        <v>100</v>
      </c>
      <c r="E8" s="5" t="s">
        <v>27</v>
      </c>
      <c r="F8" s="5" t="str">
        <f>+'12'!D1</f>
        <v>高安割れ</v>
      </c>
      <c r="G8" s="5" t="str">
        <f>IF(AND(E8="順張り",F8="高安割れ"),"uri",IF(AND(E8="逆張り",F8="高安超え"),"uri",IF(AND(E8="順張り",F8&lt;&gt;"高安割れ"),"kai",IF(AND(E8="逆張り",F8&lt;&gt;"高安超え"),"kai",""))))</f>
        <v>uri</v>
      </c>
      <c r="H8" s="5" t="str">
        <f>[1]!QUOTE(C8,"","銘柄名")</f>
        <v>野村</v>
      </c>
      <c r="I8" s="5">
        <f>[1]!QUOTE(C8,"","売買単位")</f>
        <v>100</v>
      </c>
      <c r="J8" s="5">
        <f>+'12'!F6</f>
        <v>731.7</v>
      </c>
      <c r="K8" s="5">
        <f>IF([1]!QUOTE(C8,"","基準値")*1&gt;999,ROUNDUP([1]!QUOTE(C8,"","基準値")*0.91,-1),ROUNDUP([1]!QUOTE(C8,"","基準値")*0.91,0))</f>
        <v>665</v>
      </c>
      <c r="L8" s="5">
        <f>IF(N8="買",IF(ISERROR(VLOOKUP(C8,$C$17:$I$39,3,FALSE))=TRUE,0,VLOOKUP(C8,$C$17:$I$39,3,FALSE)),0)</f>
        <v>0</v>
      </c>
      <c r="M8" s="5">
        <f>IF(N8="売",IF(ISERROR(VLOOKUP(C8,$C$17:$I$39,3,FALSE))=TRUE,0,VLOOKUP(C8,$C$17:$I$39,3,FALSE)),0)</f>
        <v>0</v>
      </c>
      <c r="N8" s="15" t="str">
        <f>IF(ISERROR(VLOOKUP(C8,$C$17:$I$39,7,FALSE))=TRUE,"-",VLOOKUP(C8,$C$17:$I$39,7,FALSE))</f>
        <v>-</v>
      </c>
      <c r="O8" s="5">
        <f>IF(ISERROR(VLOOKUP(C8,$C$17:$K$39,8,FALSE))=TRUE,0,VLOOKUP(C8,$C$17:$K$39,8,FALSE))</f>
        <v>0</v>
      </c>
      <c r="P8" s="5">
        <f>IF(ISERROR(VLOOKUP(C8,$C$17:$K$39,9,FALSE))=TRUE,0,VLOOKUP(C8,$C$17:$K$39,9,FALSE))</f>
        <v>0</v>
      </c>
      <c r="Q8" s="17"/>
      <c r="R8" s="13" t="str">
        <f>IF(AND($G$13=$C$3,$H$13=$D$3,Q8="新規売り"),[1]!MARGINORDER(C8,"東証","1",4,K8,D8,"T","","",1,1,$C$4,A8&amp;"ns","","",1,1),"-")</f>
        <v>-</v>
      </c>
      <c r="S8" s="13" t="str">
        <f>IF(AND(M8&gt;0,G8&lt;&gt;"uri"),"決済買い","-")</f>
        <v>-</v>
      </c>
      <c r="T8" s="13" t="str">
        <f>IF(AND($G$13=$C$3,$H$13=$D$3,S8="決済買い"),[1]!REPAYMENTORDER(C8,"東証","3",5,0,M8,"T","","",P8,O8,1,1,$C$4,A8&amp;"rb","","",1,1),"-")</f>
        <v>-</v>
      </c>
      <c r="U8" s="13" t="str">
        <f>IF(AND(C5="ok",G8="kai",L8=0),"新規買い","-")</f>
        <v>-</v>
      </c>
      <c r="V8" s="13" t="str">
        <f>IF(AND($G$13=$C$3,$H$13=$D$3,U8="新規買い"),[1]!MARGINORDER(C8,"東証","3",5,0,D8,"T","","",1,1,$C$4,A8&amp;"nb","","",1,1),"-")</f>
        <v>-</v>
      </c>
      <c r="W8" s="13" t="str">
        <f>IF(AND(L8&gt;0,G8&lt;&gt;"kai"),"決済売り","-")</f>
        <v>-</v>
      </c>
      <c r="X8" s="13" t="str">
        <f>IF(AND($G$13=$C$3,$H$13=$D$3,W8="決済売り"),[1]!REPAYMENTORDER(C8,"東証","1",5,0,L8,"T","","",P8,O8,1,1,$C$4,A8&amp;"rs","","",1,1),"-")</f>
        <v>-</v>
      </c>
      <c r="Y8">
        <f>+J8*D8</f>
        <v>73170</v>
      </c>
    </row>
    <row r="9" spans="1:25" ht="25.5" customHeight="1" x14ac:dyDescent="0.15">
      <c r="A9" s="18"/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20"/>
      <c r="O9" s="19"/>
      <c r="P9" s="19"/>
      <c r="Q9" s="17"/>
      <c r="R9" s="17"/>
      <c r="S9" s="17"/>
      <c r="T9" s="17"/>
      <c r="U9" s="17"/>
      <c r="V9" s="17"/>
      <c r="W9" s="17"/>
      <c r="X9" s="17"/>
      <c r="Y9">
        <f t="shared" ref="Y9:Y11" si="0">+J9*D9</f>
        <v>0</v>
      </c>
    </row>
    <row r="10" spans="1:25" ht="25.5" customHeight="1" x14ac:dyDescent="0.15">
      <c r="A10" s="18"/>
      <c r="B10" s="18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20"/>
      <c r="O10" s="19"/>
      <c r="P10" s="19"/>
      <c r="Q10" s="17"/>
      <c r="R10" s="17"/>
      <c r="S10" s="17"/>
      <c r="T10" s="17"/>
      <c r="U10" s="17"/>
      <c r="V10" s="17"/>
      <c r="W10" s="17"/>
      <c r="X10" s="17"/>
      <c r="Y10">
        <f t="shared" si="0"/>
        <v>0</v>
      </c>
    </row>
    <row r="11" spans="1:25" ht="25.5" customHeight="1" x14ac:dyDescent="0.15">
      <c r="A11" s="18"/>
      <c r="B11" s="18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20"/>
      <c r="O11" s="19"/>
      <c r="P11" s="19"/>
      <c r="Q11" s="17"/>
      <c r="R11" s="17"/>
      <c r="S11" s="17"/>
      <c r="T11" s="17"/>
      <c r="U11" s="17"/>
      <c r="V11" s="17"/>
      <c r="W11" s="17"/>
      <c r="X11" s="17"/>
      <c r="Y11">
        <f t="shared" si="0"/>
        <v>0</v>
      </c>
    </row>
    <row r="12" spans="1:25" x14ac:dyDescent="0.15">
      <c r="P12" s="5"/>
      <c r="Q12" s="5"/>
      <c r="R12" s="5"/>
      <c r="S12" s="5"/>
      <c r="T12" s="5"/>
      <c r="U12" s="5"/>
    </row>
    <row r="13" spans="1:25" ht="25.5" customHeight="1" x14ac:dyDescent="0.15">
      <c r="C13" t="s">
        <v>9</v>
      </c>
      <c r="D13" t="str">
        <f>[1]!IDX(C13,"時刻")</f>
        <v>10:41</v>
      </c>
      <c r="E13" t="str">
        <f>[1]!IDX(C13,"現在値")</f>
        <v>23836.6</v>
      </c>
      <c r="F13" t="str">
        <f>[1]!IDX(C13,"前日終値比幅")</f>
        <v>73.23</v>
      </c>
      <c r="G13" s="3">
        <f>LEFT(D13,2)*1</f>
        <v>10</v>
      </c>
      <c r="H13" s="3">
        <f>RIGHT(D13,2)*1</f>
        <v>41</v>
      </c>
    </row>
    <row r="15" spans="1:25" x14ac:dyDescent="0.15">
      <c r="C15" t="str">
        <f>[1]!POSITION(2,"1","銘柄コード",C17)</f>
        <v>POSITION(2,"1","銘柄コード",C17)</v>
      </c>
      <c r="D15" t="str">
        <f>[1]!POSITION(2,"1","銘柄名",D17)</f>
        <v>POSITION(2,"1","銘柄名",D17)</v>
      </c>
      <c r="E15" t="str">
        <f>[1]!POSITION(2,"1","保有数量",E17)</f>
        <v>POSITION(2,"1","保有数量",E17)</v>
      </c>
      <c r="F15" t="str">
        <f>[1]!POSITION(2,"1","可能数量",F17)</f>
        <v>POSITION(2,"1","可能数量",F17)</v>
      </c>
      <c r="G15" t="str">
        <f>[1]!POSITION(2,"1","評価金額",G17)</f>
        <v>POSITION(2,"1","評価金額",G17)</v>
      </c>
      <c r="H15" t="str">
        <f>[1]!POSITION(2,"1","評価損益額",H17)</f>
        <v>POSITION(2,"1","評価損益額",H17)</v>
      </c>
      <c r="I15" t="str">
        <f>[1]!POSITION(2,"1","建売買区分",I17)</f>
        <v>POSITION(2,"1","建売買区分",I17)</v>
      </c>
      <c r="J15" t="str">
        <f>[1]!POSITION(2,"1","約定日付",J17)</f>
        <v>POSITION(2,"1","約定日付",J17)</v>
      </c>
      <c r="K15" t="str">
        <f>[1]!POSITION(2,"1","取得単価",K17)</f>
        <v>POSITION(2,"1","取得単価",K17)</v>
      </c>
    </row>
    <row r="16" spans="1:25" x14ac:dyDescent="0.15">
      <c r="C16" t="s">
        <v>2</v>
      </c>
      <c r="D16" t="s">
        <v>3</v>
      </c>
      <c r="E16" t="s">
        <v>4</v>
      </c>
      <c r="F16" t="s">
        <v>5</v>
      </c>
      <c r="G16" t="s">
        <v>6</v>
      </c>
      <c r="H16" t="s">
        <v>7</v>
      </c>
      <c r="I16" t="s">
        <v>8</v>
      </c>
      <c r="J16" t="s">
        <v>13</v>
      </c>
      <c r="K16" t="s">
        <v>14</v>
      </c>
    </row>
    <row r="17" spans="3:11" x14ac:dyDescent="0.15">
      <c r="C17" t="s">
        <v>1</v>
      </c>
      <c r="D17" t="s">
        <v>38</v>
      </c>
      <c r="E17" t="s">
        <v>1</v>
      </c>
      <c r="F17" t="s">
        <v>1</v>
      </c>
      <c r="G17" t="s">
        <v>1</v>
      </c>
      <c r="H17" s="4" t="s">
        <v>1</v>
      </c>
      <c r="I17" t="s">
        <v>37</v>
      </c>
      <c r="J17" t="s">
        <v>1</v>
      </c>
      <c r="K17" s="4" t="s">
        <v>1</v>
      </c>
    </row>
    <row r="18" spans="3:11" x14ac:dyDescent="0.15">
      <c r="H18" s="4"/>
    </row>
    <row r="19" spans="3:11" x14ac:dyDescent="0.15">
      <c r="H19" s="4"/>
    </row>
    <row r="20" spans="3:11" x14ac:dyDescent="0.15">
      <c r="H20" s="4"/>
    </row>
    <row r="21" spans="3:11" x14ac:dyDescent="0.15">
      <c r="H21" s="4"/>
    </row>
    <row r="22" spans="3:11" x14ac:dyDescent="0.15">
      <c r="H22" s="4"/>
    </row>
  </sheetData>
  <dataConsolidate/>
  <phoneticPr fontId="2"/>
  <dataValidations count="1">
    <dataValidation type="list" allowBlank="1" showInputMessage="1" showErrorMessage="1" sqref="E7:E11">
      <formula1>"順張り,逆張り,設定なし"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H29"/>
  <sheetViews>
    <sheetView workbookViewId="0">
      <selection sqref="A1:XFD1048576"/>
    </sheetView>
  </sheetViews>
  <sheetFormatPr defaultRowHeight="13.5" x14ac:dyDescent="0.15"/>
  <cols>
    <col min="2" max="2" width="11.875" customWidth="1"/>
    <col min="8" max="8" width="14" style="2" bestFit="1" customWidth="1"/>
  </cols>
  <sheetData>
    <row r="1" spans="2:8" x14ac:dyDescent="0.15">
      <c r="B1" t="s">
        <v>0</v>
      </c>
      <c r="C1">
        <f>+サマリ!C7</f>
        <v>4321</v>
      </c>
      <c r="D1" t="str">
        <f>+H6</f>
        <v/>
      </c>
    </row>
    <row r="5" spans="2:8" x14ac:dyDescent="0.15">
      <c r="B5" t="str">
        <f>[1]!CANDLE(C1,"","D","1","取引日付",B6,"D","1")</f>
        <v>CANDLE(C1,"","D","1","取引日付",B6,"D","1")</v>
      </c>
      <c r="C5" t="str">
        <f>[1]!CANDLE(C1,"","D","1","始値",C6,"D","1")</f>
        <v>CANDLE(C1,"","D","1","始値",C6,"D","1")</v>
      </c>
      <c r="D5" t="str">
        <f>[1]!CANDLE(C1,"","D","1","高値",D6,"D","1")</f>
        <v>CANDLE(C1,"","D","1","高値",D6,"D","1")</v>
      </c>
      <c r="E5" t="str">
        <f>[1]!CANDLE(C1,"","D","1","安値",E6,"D","1")</f>
        <v>CANDLE(C1,"","D","1","安値",E6,"D","1")</v>
      </c>
      <c r="F5" t="str">
        <f>[1]!CANDLE(C1,"","D","1","終値",F6,"D","1")</f>
        <v>CANDLE(C1,"","D","1","終値",F6,"D","1")</v>
      </c>
      <c r="G5" t="str">
        <f>[1]!CANDLE(C1,"","D","1","出来高",G6,"D","1")</f>
        <v>CANDLE(C1,"","D","1","出来高",G6,"D","1")</v>
      </c>
    </row>
    <row r="6" spans="2:8" x14ac:dyDescent="0.15">
      <c r="B6" s="1">
        <v>43119</v>
      </c>
      <c r="C6">
        <v>703</v>
      </c>
      <c r="D6">
        <v>711</v>
      </c>
      <c r="E6">
        <v>703</v>
      </c>
      <c r="F6">
        <v>707</v>
      </c>
      <c r="G6">
        <v>542700</v>
      </c>
      <c r="H6" s="2" t="str">
        <f>IF(AND(AVERAGE(H7:H16)&gt;50000000,D6&lt;D7,E6&lt;E7),"高安割れ",IF(AND(AVERAGE(H7:H16)&gt;50000000,D6&gt;D7,E6&gt;E7),"高安超え",""))</f>
        <v/>
      </c>
    </row>
    <row r="7" spans="2:8" x14ac:dyDescent="0.15">
      <c r="B7" s="1">
        <v>43118</v>
      </c>
      <c r="C7">
        <v>714</v>
      </c>
      <c r="D7">
        <v>714</v>
      </c>
      <c r="E7">
        <v>703</v>
      </c>
      <c r="F7">
        <v>705</v>
      </c>
      <c r="G7">
        <v>2641800</v>
      </c>
      <c r="H7" s="2">
        <f>+F7*G7</f>
        <v>1862469000</v>
      </c>
    </row>
    <row r="8" spans="2:8" x14ac:dyDescent="0.15">
      <c r="B8" s="1">
        <v>43117</v>
      </c>
      <c r="C8">
        <v>712</v>
      </c>
      <c r="D8">
        <v>714</v>
      </c>
      <c r="E8">
        <v>703</v>
      </c>
      <c r="F8">
        <v>708</v>
      </c>
      <c r="G8">
        <v>2752900</v>
      </c>
      <c r="H8" s="2">
        <f t="shared" ref="H8:H16" si="0">+F8*G8</f>
        <v>1949053200</v>
      </c>
    </row>
    <row r="9" spans="2:8" x14ac:dyDescent="0.15">
      <c r="B9" s="1">
        <v>43116</v>
      </c>
      <c r="C9">
        <v>716</v>
      </c>
      <c r="D9">
        <v>721</v>
      </c>
      <c r="E9">
        <v>711</v>
      </c>
      <c r="F9">
        <v>717</v>
      </c>
      <c r="G9">
        <v>2038000</v>
      </c>
      <c r="H9" s="2">
        <f t="shared" si="0"/>
        <v>1461246000</v>
      </c>
    </row>
    <row r="10" spans="2:8" x14ac:dyDescent="0.15">
      <c r="B10" s="1">
        <v>43115</v>
      </c>
      <c r="C10">
        <v>719</v>
      </c>
      <c r="D10">
        <v>721</v>
      </c>
      <c r="E10">
        <v>713</v>
      </c>
      <c r="F10">
        <v>717</v>
      </c>
      <c r="G10">
        <v>2213100</v>
      </c>
      <c r="H10" s="2">
        <f t="shared" si="0"/>
        <v>1586792700</v>
      </c>
    </row>
    <row r="11" spans="2:8" x14ac:dyDescent="0.15">
      <c r="B11" s="1">
        <v>43112</v>
      </c>
      <c r="C11">
        <v>723</v>
      </c>
      <c r="D11">
        <v>726</v>
      </c>
      <c r="E11">
        <v>713</v>
      </c>
      <c r="F11">
        <v>719</v>
      </c>
      <c r="G11">
        <v>2959800</v>
      </c>
      <c r="H11" s="2">
        <f t="shared" si="0"/>
        <v>2128096200</v>
      </c>
    </row>
    <row r="12" spans="2:8" x14ac:dyDescent="0.15">
      <c r="B12" s="1">
        <v>43111</v>
      </c>
      <c r="C12">
        <v>712</v>
      </c>
      <c r="D12">
        <v>729</v>
      </c>
      <c r="E12">
        <v>705</v>
      </c>
      <c r="F12">
        <v>722</v>
      </c>
      <c r="G12">
        <v>3975400</v>
      </c>
      <c r="H12" s="2">
        <f t="shared" si="0"/>
        <v>2870238800</v>
      </c>
    </row>
    <row r="13" spans="2:8" x14ac:dyDescent="0.15">
      <c r="B13" s="1">
        <v>43110</v>
      </c>
      <c r="C13">
        <v>697</v>
      </c>
      <c r="D13">
        <v>713</v>
      </c>
      <c r="E13">
        <v>692</v>
      </c>
      <c r="F13">
        <v>712</v>
      </c>
      <c r="G13">
        <v>4178500</v>
      </c>
      <c r="H13" s="2">
        <f t="shared" si="0"/>
        <v>2975092000</v>
      </c>
    </row>
    <row r="14" spans="2:8" x14ac:dyDescent="0.15">
      <c r="B14" s="1">
        <v>43109</v>
      </c>
      <c r="C14">
        <v>703</v>
      </c>
      <c r="D14">
        <v>706</v>
      </c>
      <c r="E14">
        <v>696</v>
      </c>
      <c r="F14">
        <v>698</v>
      </c>
      <c r="G14">
        <v>3181000</v>
      </c>
      <c r="H14" s="2">
        <f t="shared" si="0"/>
        <v>2220338000</v>
      </c>
    </row>
    <row r="15" spans="2:8" x14ac:dyDescent="0.15">
      <c r="B15" s="1">
        <v>43105</v>
      </c>
      <c r="C15">
        <v>712</v>
      </c>
      <c r="D15">
        <v>713</v>
      </c>
      <c r="E15">
        <v>688</v>
      </c>
      <c r="F15">
        <v>695</v>
      </c>
      <c r="G15">
        <v>5693100</v>
      </c>
      <c r="H15" s="2">
        <f t="shared" si="0"/>
        <v>3956704500</v>
      </c>
    </row>
    <row r="16" spans="2:8" x14ac:dyDescent="0.15">
      <c r="B16" s="1">
        <v>43104</v>
      </c>
      <c r="C16">
        <v>699</v>
      </c>
      <c r="D16">
        <v>708</v>
      </c>
      <c r="E16">
        <v>697</v>
      </c>
      <c r="F16">
        <v>708</v>
      </c>
      <c r="G16">
        <v>2224200</v>
      </c>
      <c r="H16" s="2">
        <f t="shared" si="0"/>
        <v>1574733600</v>
      </c>
    </row>
    <row r="17" spans="2:7" x14ac:dyDescent="0.15">
      <c r="B17" s="1">
        <v>43098</v>
      </c>
      <c r="C17">
        <v>692</v>
      </c>
      <c r="D17">
        <v>700</v>
      </c>
      <c r="E17">
        <v>687</v>
      </c>
      <c r="F17">
        <v>690</v>
      </c>
      <c r="G17">
        <v>2367500</v>
      </c>
    </row>
    <row r="18" spans="2:7" x14ac:dyDescent="0.15">
      <c r="B18" s="1">
        <v>43097</v>
      </c>
      <c r="C18">
        <v>713</v>
      </c>
      <c r="D18">
        <v>715</v>
      </c>
      <c r="E18">
        <v>690</v>
      </c>
      <c r="F18">
        <v>692</v>
      </c>
      <c r="G18">
        <v>4240600</v>
      </c>
    </row>
    <row r="19" spans="2:7" x14ac:dyDescent="0.15">
      <c r="B19" s="1">
        <v>43096</v>
      </c>
      <c r="C19">
        <v>706</v>
      </c>
      <c r="D19">
        <v>716</v>
      </c>
      <c r="E19">
        <v>705</v>
      </c>
      <c r="F19">
        <v>713</v>
      </c>
      <c r="G19">
        <v>1807900</v>
      </c>
    </row>
    <row r="20" spans="2:7" x14ac:dyDescent="0.15">
      <c r="B20" s="1">
        <v>43095</v>
      </c>
      <c r="C20">
        <v>711</v>
      </c>
      <c r="D20">
        <v>715</v>
      </c>
      <c r="E20">
        <v>701</v>
      </c>
      <c r="F20">
        <v>704</v>
      </c>
      <c r="G20">
        <v>3279400</v>
      </c>
    </row>
    <row r="21" spans="2:7" x14ac:dyDescent="0.15">
      <c r="B21" s="1">
        <v>43094</v>
      </c>
      <c r="C21">
        <v>718</v>
      </c>
      <c r="D21">
        <v>727</v>
      </c>
      <c r="E21">
        <v>709</v>
      </c>
      <c r="F21">
        <v>711</v>
      </c>
      <c r="G21">
        <v>2871200</v>
      </c>
    </row>
    <row r="22" spans="2:7" x14ac:dyDescent="0.15">
      <c r="B22" s="1">
        <v>43091</v>
      </c>
      <c r="C22">
        <v>735</v>
      </c>
      <c r="D22">
        <v>736</v>
      </c>
      <c r="E22">
        <v>713</v>
      </c>
      <c r="F22">
        <v>718</v>
      </c>
      <c r="G22">
        <v>3995300</v>
      </c>
    </row>
    <row r="23" spans="2:7" x14ac:dyDescent="0.15">
      <c r="B23" s="1">
        <v>43090</v>
      </c>
      <c r="C23">
        <v>721</v>
      </c>
      <c r="D23">
        <v>735</v>
      </c>
      <c r="E23">
        <v>720</v>
      </c>
      <c r="F23">
        <v>735</v>
      </c>
      <c r="G23">
        <v>2336800</v>
      </c>
    </row>
    <row r="24" spans="2:7" x14ac:dyDescent="0.15">
      <c r="B24" s="1">
        <v>43089</v>
      </c>
      <c r="C24">
        <v>734</v>
      </c>
      <c r="D24">
        <v>735</v>
      </c>
      <c r="E24">
        <v>720</v>
      </c>
      <c r="F24">
        <v>723</v>
      </c>
      <c r="G24">
        <v>2543000</v>
      </c>
    </row>
    <row r="25" spans="2:7" x14ac:dyDescent="0.15">
      <c r="B25" s="1">
        <v>43088</v>
      </c>
      <c r="C25">
        <v>741</v>
      </c>
      <c r="D25">
        <v>741</v>
      </c>
      <c r="E25">
        <v>731</v>
      </c>
      <c r="F25">
        <v>734</v>
      </c>
      <c r="G25">
        <v>1699600</v>
      </c>
    </row>
    <row r="26" spans="2:7" x14ac:dyDescent="0.15">
      <c r="B26" s="1">
        <v>42796</v>
      </c>
      <c r="C26">
        <v>770</v>
      </c>
      <c r="D26">
        <v>776</v>
      </c>
      <c r="E26">
        <v>763</v>
      </c>
      <c r="F26">
        <v>763</v>
      </c>
      <c r="G26">
        <v>130658400</v>
      </c>
    </row>
    <row r="27" spans="2:7" x14ac:dyDescent="0.15">
      <c r="B27" s="1">
        <v>42795</v>
      </c>
      <c r="C27">
        <v>746.9</v>
      </c>
      <c r="D27">
        <v>749</v>
      </c>
      <c r="E27">
        <v>735.6</v>
      </c>
      <c r="F27">
        <v>748.2</v>
      </c>
      <c r="G27">
        <v>86399800</v>
      </c>
    </row>
    <row r="28" spans="2:7" x14ac:dyDescent="0.15">
      <c r="B28" s="1">
        <v>42794</v>
      </c>
      <c r="C28">
        <v>742.9</v>
      </c>
      <c r="D28">
        <v>747</v>
      </c>
      <c r="E28">
        <v>738.4</v>
      </c>
      <c r="F28">
        <v>738.4</v>
      </c>
      <c r="G28">
        <v>70676700</v>
      </c>
    </row>
    <row r="29" spans="2:7" x14ac:dyDescent="0.15">
      <c r="B29" s="1">
        <v>42759</v>
      </c>
      <c r="C29">
        <v>716</v>
      </c>
      <c r="D29">
        <v>717.9</v>
      </c>
      <c r="E29">
        <v>704</v>
      </c>
      <c r="F29">
        <v>706.5</v>
      </c>
      <c r="G29">
        <v>82906300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H29"/>
  <sheetViews>
    <sheetView workbookViewId="0">
      <selection sqref="A1:XFD1048576"/>
    </sheetView>
  </sheetViews>
  <sheetFormatPr defaultRowHeight="13.5" x14ac:dyDescent="0.15"/>
  <cols>
    <col min="2" max="2" width="10.375" customWidth="1"/>
    <col min="8" max="8" width="12.75" style="2" bestFit="1" customWidth="1"/>
  </cols>
  <sheetData>
    <row r="1" spans="2:8" x14ac:dyDescent="0.15">
      <c r="B1" t="s">
        <v>0</v>
      </c>
      <c r="C1">
        <f>+サマリ!C8</f>
        <v>8604</v>
      </c>
      <c r="D1" t="str">
        <f>+H6</f>
        <v>高安割れ</v>
      </c>
    </row>
    <row r="5" spans="2:8" x14ac:dyDescent="0.15">
      <c r="B5" t="str">
        <f>[1]!CANDLE(C1,"","D","1","取引日付",B6,"D","1")</f>
        <v>CANDLE(C1,"","D","1","取引日付",B6,"D","1")</v>
      </c>
      <c r="C5" t="str">
        <f>[1]!CANDLE(C1,"","D","1","始値",C6,"D","1")</f>
        <v>CANDLE(C1,"","D","1","始値",C6,"D","1")</v>
      </c>
      <c r="D5" t="str">
        <f>[1]!CANDLE(C1,"","D","1","高値",D6,"D","1")</f>
        <v>CANDLE(C1,"","D","1","高値",D6,"D","1")</v>
      </c>
      <c r="E5" t="str">
        <f>[1]!CANDLE(C1,"","D","1","安値",E6,"D","1")</f>
        <v>CANDLE(C1,"","D","1","安値",E6,"D","1")</v>
      </c>
      <c r="F5" t="str">
        <f>[1]!CANDLE(C1,"","D","1","終値",F6,"D","1")</f>
        <v>CANDLE(C1,"","D","1","終値",F6,"D","1")</v>
      </c>
      <c r="G5" t="str">
        <f>[1]!CANDLE(C1,"","D","1","出来高",G6,"D","1")</f>
        <v>CANDLE(C1,"","D","1","出来高",G6,"D","1")</v>
      </c>
    </row>
    <row r="6" spans="2:8" x14ac:dyDescent="0.15">
      <c r="B6" s="1">
        <v>43119</v>
      </c>
      <c r="C6">
        <v>734</v>
      </c>
      <c r="D6">
        <v>737</v>
      </c>
      <c r="E6">
        <v>728.1</v>
      </c>
      <c r="F6">
        <v>731.7</v>
      </c>
      <c r="G6">
        <v>6768000</v>
      </c>
      <c r="H6" s="2" t="str">
        <f>IF(AND(AVERAGE(H7:H16)&gt;50000000,D6&lt;D7,E6&lt;E7),"高安割れ",IF(AND(AVERAGE(H7:H16)&gt;50000000,D6&gt;D7,E6&gt;E7),"高安超え",""))</f>
        <v>高安割れ</v>
      </c>
    </row>
    <row r="7" spans="2:8" x14ac:dyDescent="0.15">
      <c r="B7" s="1">
        <v>43118</v>
      </c>
      <c r="C7">
        <v>747</v>
      </c>
      <c r="D7">
        <v>748.9</v>
      </c>
      <c r="E7">
        <v>729.3</v>
      </c>
      <c r="F7">
        <v>730.4</v>
      </c>
      <c r="G7">
        <v>22313100</v>
      </c>
      <c r="H7" s="2">
        <f>+F7*G7</f>
        <v>16297488240</v>
      </c>
    </row>
    <row r="8" spans="2:8" x14ac:dyDescent="0.15">
      <c r="B8" s="1">
        <v>43117</v>
      </c>
      <c r="C8">
        <v>729.5</v>
      </c>
      <c r="D8">
        <v>742.4</v>
      </c>
      <c r="E8">
        <v>729.1</v>
      </c>
      <c r="F8">
        <v>737.1</v>
      </c>
      <c r="G8">
        <v>21279100</v>
      </c>
      <c r="H8" s="2">
        <f t="shared" ref="H8:H16" si="0">+F8*G8</f>
        <v>15684824610</v>
      </c>
    </row>
    <row r="9" spans="2:8" x14ac:dyDescent="0.15">
      <c r="B9" s="1">
        <v>43116</v>
      </c>
      <c r="C9">
        <v>740.5</v>
      </c>
      <c r="D9">
        <v>745.8</v>
      </c>
      <c r="E9">
        <v>738.1</v>
      </c>
      <c r="F9">
        <v>739.5</v>
      </c>
      <c r="G9">
        <v>15658700</v>
      </c>
      <c r="H9" s="2">
        <f t="shared" si="0"/>
        <v>11579608650</v>
      </c>
    </row>
    <row r="10" spans="2:8" x14ac:dyDescent="0.15">
      <c r="B10" s="1">
        <v>43115</v>
      </c>
      <c r="C10">
        <v>736</v>
      </c>
      <c r="D10">
        <v>744.6</v>
      </c>
      <c r="E10">
        <v>734.9</v>
      </c>
      <c r="F10">
        <v>740.1</v>
      </c>
      <c r="G10">
        <v>21259900</v>
      </c>
      <c r="H10" s="2">
        <f t="shared" si="0"/>
        <v>15734451990</v>
      </c>
    </row>
    <row r="11" spans="2:8" x14ac:dyDescent="0.15">
      <c r="B11" s="1">
        <v>43112</v>
      </c>
      <c r="C11">
        <v>732.5</v>
      </c>
      <c r="D11">
        <v>735</v>
      </c>
      <c r="E11">
        <v>726.2</v>
      </c>
      <c r="F11">
        <v>728</v>
      </c>
      <c r="G11">
        <v>17847800</v>
      </c>
      <c r="H11" s="2">
        <f t="shared" si="0"/>
        <v>12993198400</v>
      </c>
    </row>
    <row r="12" spans="2:8" x14ac:dyDescent="0.15">
      <c r="B12" s="1">
        <v>43111</v>
      </c>
      <c r="C12">
        <v>717.7</v>
      </c>
      <c r="D12">
        <v>731.9</v>
      </c>
      <c r="E12">
        <v>716.1</v>
      </c>
      <c r="F12">
        <v>731.3</v>
      </c>
      <c r="G12">
        <v>24630800</v>
      </c>
      <c r="H12" s="2">
        <f t="shared" si="0"/>
        <v>18012504040</v>
      </c>
    </row>
    <row r="13" spans="2:8" x14ac:dyDescent="0.15">
      <c r="B13" s="1">
        <v>43110</v>
      </c>
      <c r="C13">
        <v>718.1</v>
      </c>
      <c r="D13">
        <v>727.7</v>
      </c>
      <c r="E13">
        <v>717.1</v>
      </c>
      <c r="F13">
        <v>724.7</v>
      </c>
      <c r="G13">
        <v>23851800</v>
      </c>
      <c r="H13" s="2">
        <f t="shared" si="0"/>
        <v>17285399460</v>
      </c>
    </row>
    <row r="14" spans="2:8" x14ac:dyDescent="0.15">
      <c r="B14" s="1">
        <v>43109</v>
      </c>
      <c r="C14">
        <v>720.8</v>
      </c>
      <c r="D14">
        <v>728.7</v>
      </c>
      <c r="E14">
        <v>714</v>
      </c>
      <c r="F14">
        <v>718.4</v>
      </c>
      <c r="G14">
        <v>38390900</v>
      </c>
      <c r="H14" s="2">
        <f t="shared" si="0"/>
        <v>27580022560</v>
      </c>
    </row>
    <row r="15" spans="2:8" x14ac:dyDescent="0.15">
      <c r="B15" s="1">
        <v>43105</v>
      </c>
      <c r="C15">
        <v>695.4</v>
      </c>
      <c r="D15">
        <v>710</v>
      </c>
      <c r="E15">
        <v>692.2</v>
      </c>
      <c r="F15">
        <v>710</v>
      </c>
      <c r="G15">
        <v>47113200</v>
      </c>
      <c r="H15" s="2">
        <f t="shared" si="0"/>
        <v>33450372000</v>
      </c>
    </row>
    <row r="16" spans="2:8" x14ac:dyDescent="0.15">
      <c r="B16" s="1">
        <v>43104</v>
      </c>
      <c r="C16">
        <v>676.9</v>
      </c>
      <c r="D16">
        <v>686.2</v>
      </c>
      <c r="E16">
        <v>674.7</v>
      </c>
      <c r="F16">
        <v>686.1</v>
      </c>
      <c r="G16">
        <v>30998900</v>
      </c>
      <c r="H16" s="2">
        <f t="shared" si="0"/>
        <v>21268345290</v>
      </c>
    </row>
    <row r="17" spans="2:7" x14ac:dyDescent="0.15">
      <c r="B17" s="1">
        <v>43098</v>
      </c>
      <c r="C17">
        <v>660.5</v>
      </c>
      <c r="D17">
        <v>667.2</v>
      </c>
      <c r="E17">
        <v>660.4</v>
      </c>
      <c r="F17">
        <v>665.1</v>
      </c>
      <c r="G17">
        <v>11438400</v>
      </c>
    </row>
    <row r="18" spans="2:7" x14ac:dyDescent="0.15">
      <c r="B18" s="1">
        <v>43097</v>
      </c>
      <c r="C18">
        <v>668.6</v>
      </c>
      <c r="D18">
        <v>669.4</v>
      </c>
      <c r="E18">
        <v>658.4</v>
      </c>
      <c r="F18">
        <v>659.5</v>
      </c>
      <c r="G18">
        <v>12345100</v>
      </c>
    </row>
    <row r="19" spans="2:7" x14ac:dyDescent="0.15">
      <c r="B19" s="1">
        <v>43096</v>
      </c>
      <c r="C19">
        <v>662.6</v>
      </c>
      <c r="D19">
        <v>673.2</v>
      </c>
      <c r="E19">
        <v>662</v>
      </c>
      <c r="F19">
        <v>668.7</v>
      </c>
      <c r="G19">
        <v>12951500</v>
      </c>
    </row>
    <row r="20" spans="2:7" x14ac:dyDescent="0.15">
      <c r="B20" s="1">
        <v>43095</v>
      </c>
      <c r="C20">
        <v>663</v>
      </c>
      <c r="D20">
        <v>664.6</v>
      </c>
      <c r="E20">
        <v>659.2</v>
      </c>
      <c r="F20">
        <v>660.1</v>
      </c>
      <c r="G20">
        <v>16958400</v>
      </c>
    </row>
    <row r="21" spans="2:7" x14ac:dyDescent="0.15">
      <c r="B21" s="1">
        <v>43094</v>
      </c>
      <c r="C21">
        <v>674.6</v>
      </c>
      <c r="D21">
        <v>675</v>
      </c>
      <c r="E21">
        <v>663.6</v>
      </c>
      <c r="F21">
        <v>667.8</v>
      </c>
      <c r="G21">
        <v>10561500</v>
      </c>
    </row>
    <row r="22" spans="2:7" x14ac:dyDescent="0.15">
      <c r="B22" s="1">
        <v>43091</v>
      </c>
      <c r="C22">
        <v>672</v>
      </c>
      <c r="D22">
        <v>674.5</v>
      </c>
      <c r="E22">
        <v>670</v>
      </c>
      <c r="F22">
        <v>670.7</v>
      </c>
      <c r="G22">
        <v>14697200</v>
      </c>
    </row>
    <row r="23" spans="2:7" x14ac:dyDescent="0.15">
      <c r="B23" s="1">
        <v>43090</v>
      </c>
      <c r="C23">
        <v>674.5</v>
      </c>
      <c r="D23">
        <v>675.3</v>
      </c>
      <c r="E23">
        <v>670.6</v>
      </c>
      <c r="F23">
        <v>672.9</v>
      </c>
      <c r="G23">
        <v>13416100</v>
      </c>
    </row>
    <row r="24" spans="2:7" x14ac:dyDescent="0.15">
      <c r="B24" s="1">
        <v>43089</v>
      </c>
      <c r="C24">
        <v>673.7</v>
      </c>
      <c r="D24">
        <v>688.1</v>
      </c>
      <c r="E24">
        <v>671.4</v>
      </c>
      <c r="F24">
        <v>676.1</v>
      </c>
      <c r="G24">
        <v>21710400</v>
      </c>
    </row>
    <row r="25" spans="2:7" x14ac:dyDescent="0.15">
      <c r="B25" s="1">
        <v>43088</v>
      </c>
      <c r="C25">
        <v>669</v>
      </c>
      <c r="D25">
        <v>678.3</v>
      </c>
      <c r="E25">
        <v>669</v>
      </c>
      <c r="F25">
        <v>675</v>
      </c>
      <c r="G25">
        <v>23217600</v>
      </c>
    </row>
    <row r="26" spans="2:7" x14ac:dyDescent="0.15">
      <c r="B26" s="1">
        <v>42796</v>
      </c>
      <c r="C26">
        <v>3825</v>
      </c>
      <c r="D26">
        <v>3825</v>
      </c>
      <c r="E26">
        <v>3767</v>
      </c>
      <c r="F26">
        <v>3776</v>
      </c>
      <c r="G26">
        <v>3691700</v>
      </c>
    </row>
    <row r="27" spans="2:7" x14ac:dyDescent="0.15">
      <c r="B27" s="1">
        <v>42795</v>
      </c>
      <c r="C27">
        <v>3784</v>
      </c>
      <c r="D27">
        <v>3814</v>
      </c>
      <c r="E27">
        <v>3774</v>
      </c>
      <c r="F27">
        <v>3800</v>
      </c>
      <c r="G27">
        <v>3290500</v>
      </c>
    </row>
    <row r="28" spans="2:7" x14ac:dyDescent="0.15">
      <c r="B28" s="1">
        <v>42794</v>
      </c>
      <c r="C28">
        <v>3772</v>
      </c>
      <c r="D28">
        <v>3787</v>
      </c>
      <c r="E28">
        <v>3750</v>
      </c>
      <c r="F28">
        <v>3757</v>
      </c>
      <c r="G28">
        <v>4110900</v>
      </c>
    </row>
    <row r="29" spans="2:7" x14ac:dyDescent="0.15">
      <c r="B29" s="1">
        <v>42759</v>
      </c>
      <c r="C29">
        <v>3746</v>
      </c>
      <c r="D29">
        <v>3747</v>
      </c>
      <c r="E29">
        <v>3704</v>
      </c>
      <c r="F29">
        <v>3720</v>
      </c>
      <c r="G29">
        <v>2867700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H29"/>
  <sheetViews>
    <sheetView workbookViewId="0">
      <selection sqref="A1:XFD1048576"/>
    </sheetView>
  </sheetViews>
  <sheetFormatPr defaultRowHeight="13.5" x14ac:dyDescent="0.15"/>
  <cols>
    <col min="2" max="2" width="10.375" customWidth="1"/>
    <col min="8" max="8" width="12.75" style="2" bestFit="1" customWidth="1"/>
  </cols>
  <sheetData>
    <row r="1" spans="2:8" x14ac:dyDescent="0.15">
      <c r="B1" t="s">
        <v>0</v>
      </c>
      <c r="C1">
        <f>+サマリ!C9</f>
        <v>0</v>
      </c>
      <c r="D1" t="str">
        <f>+H6</f>
        <v>高安超え</v>
      </c>
    </row>
    <row r="5" spans="2:8" x14ac:dyDescent="0.15">
      <c r="B5" t="str">
        <f>[1]!CANDLE(C1,"","D","1","取引日付",B6,"D","1")</f>
        <v>CANDLE(C1,"","D","1","取引日付",B6,"D","1")</v>
      </c>
      <c r="C5" t="str">
        <f>[1]!CANDLE(C1,"","D","1","始値",C6,"D","1")</f>
        <v>CANDLE(C1,"","D","1","始値",C6,"D","1")</v>
      </c>
      <c r="D5" t="str">
        <f>[1]!CANDLE(C1,"","D","1","高値",D6,"D","1")</f>
        <v>CANDLE(C1,"","D","1","高値",D6,"D","1")</v>
      </c>
      <c r="E5" t="str">
        <f>[1]!CANDLE(C1,"","D","1","安値",E6,"D","1")</f>
        <v>CANDLE(C1,"","D","1","安値",E6,"D","1")</v>
      </c>
      <c r="F5" t="str">
        <f>[1]!CANDLE(C1,"","D","1","終値",F6,"D","1")</f>
        <v>CANDLE(C1,"","D","1","終値",F6,"D","1")</v>
      </c>
      <c r="G5" t="str">
        <f>[1]!CANDLE(C1,"","D","1","出来高",G6,"D","1")</f>
        <v>CANDLE(C1,"","D","1","出来高",G6,"D","1")</v>
      </c>
    </row>
    <row r="6" spans="2:8" x14ac:dyDescent="0.15">
      <c r="B6" s="1">
        <v>43105</v>
      </c>
      <c r="C6">
        <v>210.8</v>
      </c>
      <c r="D6">
        <v>212.7</v>
      </c>
      <c r="E6">
        <v>210.8</v>
      </c>
      <c r="F6">
        <v>212.1</v>
      </c>
      <c r="G6">
        <v>205608500</v>
      </c>
      <c r="H6" s="2" t="str">
        <f>IF(AND(AVERAGE(H7:H16)&gt;50000000,D6&lt;D7,E6&lt;E7),"高安割れ",IF(AND(AVERAGE(H7:H16)&gt;50000000,D6&gt;D7,E6&gt;E7),"高安超え",""))</f>
        <v>高安超え</v>
      </c>
    </row>
    <row r="7" spans="2:8" x14ac:dyDescent="0.15">
      <c r="B7" s="1">
        <v>43104</v>
      </c>
      <c r="C7">
        <v>207.7</v>
      </c>
      <c r="D7">
        <v>209.5</v>
      </c>
      <c r="E7">
        <v>207.1</v>
      </c>
      <c r="F7">
        <v>209.5</v>
      </c>
      <c r="G7">
        <v>206939200</v>
      </c>
      <c r="H7" s="2">
        <f>+F7*G7</f>
        <v>43353762400</v>
      </c>
    </row>
    <row r="8" spans="2:8" x14ac:dyDescent="0.15">
      <c r="B8" s="1">
        <v>43098</v>
      </c>
      <c r="C8">
        <v>205</v>
      </c>
      <c r="D8">
        <v>206</v>
      </c>
      <c r="E8">
        <v>204.5</v>
      </c>
      <c r="F8">
        <v>204.6</v>
      </c>
      <c r="G8">
        <v>80016200</v>
      </c>
      <c r="H8" s="2">
        <f t="shared" ref="H8:H16" si="0">+F8*G8</f>
        <v>16371314520</v>
      </c>
    </row>
    <row r="9" spans="2:8" x14ac:dyDescent="0.15">
      <c r="B9" s="1">
        <v>43097</v>
      </c>
      <c r="C9">
        <v>205.4</v>
      </c>
      <c r="D9">
        <v>205.9</v>
      </c>
      <c r="E9">
        <v>204.1</v>
      </c>
      <c r="F9">
        <v>204.2</v>
      </c>
      <c r="G9">
        <v>76965100</v>
      </c>
      <c r="H9" s="2">
        <f t="shared" si="0"/>
        <v>15716273420</v>
      </c>
    </row>
    <row r="10" spans="2:8" x14ac:dyDescent="0.15">
      <c r="B10" s="1">
        <v>43096</v>
      </c>
      <c r="C10">
        <v>205.9</v>
      </c>
      <c r="D10">
        <v>206.8</v>
      </c>
      <c r="E10">
        <v>205.4</v>
      </c>
      <c r="F10">
        <v>206</v>
      </c>
      <c r="G10">
        <v>80197400</v>
      </c>
      <c r="H10" s="2">
        <f t="shared" si="0"/>
        <v>16520664400</v>
      </c>
    </row>
    <row r="11" spans="2:8" x14ac:dyDescent="0.15">
      <c r="B11" s="1">
        <v>43095</v>
      </c>
      <c r="C11">
        <v>206</v>
      </c>
      <c r="D11">
        <v>206.8</v>
      </c>
      <c r="E11">
        <v>205</v>
      </c>
      <c r="F11">
        <v>205.3</v>
      </c>
      <c r="G11">
        <v>90586400</v>
      </c>
      <c r="H11" s="2">
        <f t="shared" si="0"/>
        <v>18597387920</v>
      </c>
    </row>
    <row r="12" spans="2:8" x14ac:dyDescent="0.15">
      <c r="B12" s="1">
        <v>43094</v>
      </c>
      <c r="C12">
        <v>207.1</v>
      </c>
      <c r="D12">
        <v>207.2</v>
      </c>
      <c r="E12">
        <v>205.5</v>
      </c>
      <c r="F12">
        <v>206.1</v>
      </c>
      <c r="G12">
        <v>85666800</v>
      </c>
      <c r="H12" s="2">
        <f t="shared" si="0"/>
        <v>17655927480</v>
      </c>
    </row>
    <row r="13" spans="2:8" x14ac:dyDescent="0.15">
      <c r="B13" s="1">
        <v>43091</v>
      </c>
      <c r="C13">
        <v>206.7</v>
      </c>
      <c r="D13">
        <v>208.2</v>
      </c>
      <c r="E13">
        <v>206.5</v>
      </c>
      <c r="F13">
        <v>207.6</v>
      </c>
      <c r="G13">
        <v>140452800</v>
      </c>
      <c r="H13" s="2">
        <f t="shared" si="0"/>
        <v>29158001280</v>
      </c>
    </row>
    <row r="14" spans="2:8" x14ac:dyDescent="0.15">
      <c r="B14" s="1">
        <v>43090</v>
      </c>
      <c r="C14">
        <v>208.4</v>
      </c>
      <c r="D14">
        <v>208.6</v>
      </c>
      <c r="E14">
        <v>205.8</v>
      </c>
      <c r="F14">
        <v>206.1</v>
      </c>
      <c r="G14">
        <v>125639100</v>
      </c>
      <c r="H14" s="2">
        <f t="shared" si="0"/>
        <v>25894218510</v>
      </c>
    </row>
    <row r="15" spans="2:8" x14ac:dyDescent="0.15">
      <c r="B15" s="1">
        <v>43089</v>
      </c>
      <c r="C15">
        <v>206.2</v>
      </c>
      <c r="D15">
        <v>208.6</v>
      </c>
      <c r="E15">
        <v>206.1</v>
      </c>
      <c r="F15">
        <v>208.6</v>
      </c>
      <c r="G15">
        <v>242602700</v>
      </c>
      <c r="H15" s="2">
        <f t="shared" si="0"/>
        <v>50606923220</v>
      </c>
    </row>
    <row r="16" spans="2:8" x14ac:dyDescent="0.15">
      <c r="B16" s="1">
        <v>43088</v>
      </c>
      <c r="C16">
        <v>206.1</v>
      </c>
      <c r="D16">
        <v>206.9</v>
      </c>
      <c r="E16">
        <v>204.3</v>
      </c>
      <c r="F16">
        <v>204.5</v>
      </c>
      <c r="G16">
        <v>104827800</v>
      </c>
      <c r="H16" s="2">
        <f t="shared" si="0"/>
        <v>21437285100</v>
      </c>
    </row>
    <row r="17" spans="2:7" x14ac:dyDescent="0.15">
      <c r="B17" s="1">
        <v>43087</v>
      </c>
      <c r="C17">
        <v>202.8</v>
      </c>
      <c r="D17">
        <v>205.6</v>
      </c>
      <c r="E17">
        <v>202.7</v>
      </c>
      <c r="F17">
        <v>205.6</v>
      </c>
      <c r="G17">
        <v>168325100</v>
      </c>
    </row>
    <row r="18" spans="2:7" x14ac:dyDescent="0.15">
      <c r="B18" s="1">
        <v>43084</v>
      </c>
      <c r="C18">
        <v>202</v>
      </c>
      <c r="D18">
        <v>202.1</v>
      </c>
      <c r="E18">
        <v>200.3</v>
      </c>
      <c r="F18">
        <v>200.8</v>
      </c>
      <c r="G18">
        <v>150799900</v>
      </c>
    </row>
    <row r="19" spans="2:7" x14ac:dyDescent="0.15">
      <c r="B19" s="1">
        <v>43083</v>
      </c>
      <c r="C19">
        <v>204.4</v>
      </c>
      <c r="D19">
        <v>204.6</v>
      </c>
      <c r="E19">
        <v>202</v>
      </c>
      <c r="F19">
        <v>202.7</v>
      </c>
      <c r="G19">
        <v>182107700</v>
      </c>
    </row>
    <row r="20" spans="2:7" x14ac:dyDescent="0.15">
      <c r="B20" s="1">
        <v>43082</v>
      </c>
      <c r="C20">
        <v>207</v>
      </c>
      <c r="D20">
        <v>207.7</v>
      </c>
      <c r="E20">
        <v>206.4</v>
      </c>
      <c r="F20">
        <v>207.3</v>
      </c>
      <c r="G20">
        <v>178074600</v>
      </c>
    </row>
    <row r="21" spans="2:7" x14ac:dyDescent="0.15">
      <c r="B21" s="1">
        <v>43081</v>
      </c>
      <c r="C21">
        <v>203.8</v>
      </c>
      <c r="D21">
        <v>206.8</v>
      </c>
      <c r="E21">
        <v>203.7</v>
      </c>
      <c r="F21">
        <v>206.2</v>
      </c>
      <c r="G21">
        <v>201818200</v>
      </c>
    </row>
    <row r="22" spans="2:7" x14ac:dyDescent="0.15">
      <c r="B22" s="1">
        <v>43080</v>
      </c>
      <c r="C22">
        <v>202.8</v>
      </c>
      <c r="D22">
        <v>204.2</v>
      </c>
      <c r="E22">
        <v>202.6</v>
      </c>
      <c r="F22">
        <v>203.3</v>
      </c>
      <c r="G22">
        <v>105789500</v>
      </c>
    </row>
    <row r="23" spans="2:7" x14ac:dyDescent="0.15">
      <c r="B23" s="1">
        <v>43077</v>
      </c>
      <c r="C23">
        <v>200</v>
      </c>
      <c r="D23">
        <v>202.7</v>
      </c>
      <c r="E23">
        <v>200</v>
      </c>
      <c r="F23">
        <v>202.2</v>
      </c>
      <c r="G23">
        <v>146130800</v>
      </c>
    </row>
    <row r="24" spans="2:7" x14ac:dyDescent="0.15">
      <c r="B24" s="1">
        <v>42835</v>
      </c>
      <c r="C24">
        <v>194.9</v>
      </c>
      <c r="D24">
        <v>196.6</v>
      </c>
      <c r="E24">
        <v>194.8</v>
      </c>
      <c r="F24">
        <v>196.3</v>
      </c>
      <c r="G24">
        <v>101717500</v>
      </c>
    </row>
    <row r="25" spans="2:7" x14ac:dyDescent="0.15">
      <c r="B25" s="1">
        <v>42797</v>
      </c>
      <c r="C25">
        <v>213.8</v>
      </c>
      <c r="D25">
        <v>214</v>
      </c>
      <c r="E25">
        <v>211.5</v>
      </c>
      <c r="F25">
        <v>212.6</v>
      </c>
      <c r="G25">
        <v>126042900</v>
      </c>
    </row>
    <row r="26" spans="2:7" x14ac:dyDescent="0.15">
      <c r="B26" s="1">
        <v>42796</v>
      </c>
      <c r="C26">
        <v>213.7</v>
      </c>
      <c r="D26">
        <v>215</v>
      </c>
      <c r="E26">
        <v>213.1</v>
      </c>
      <c r="F26">
        <v>213.3</v>
      </c>
      <c r="G26">
        <v>203061600</v>
      </c>
    </row>
    <row r="27" spans="2:7" x14ac:dyDescent="0.15">
      <c r="B27" s="1">
        <v>42795</v>
      </c>
      <c r="C27">
        <v>210.3</v>
      </c>
      <c r="D27">
        <v>211.2</v>
      </c>
      <c r="E27">
        <v>208.5</v>
      </c>
      <c r="F27">
        <v>210.5</v>
      </c>
      <c r="G27">
        <v>161923800</v>
      </c>
    </row>
    <row r="28" spans="2:7" x14ac:dyDescent="0.15">
      <c r="B28" s="1">
        <v>42794</v>
      </c>
      <c r="C28">
        <v>209.1</v>
      </c>
      <c r="D28">
        <v>210.6</v>
      </c>
      <c r="E28">
        <v>208.9</v>
      </c>
      <c r="F28">
        <v>209.7</v>
      </c>
      <c r="G28">
        <v>116024300</v>
      </c>
    </row>
    <row r="29" spans="2:7" x14ac:dyDescent="0.15">
      <c r="B29" s="1">
        <v>42759</v>
      </c>
      <c r="C29">
        <v>209.2</v>
      </c>
      <c r="D29">
        <v>209.5</v>
      </c>
      <c r="E29">
        <v>205.5</v>
      </c>
      <c r="F29">
        <v>205.9</v>
      </c>
      <c r="G29">
        <v>174651600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H29"/>
  <sheetViews>
    <sheetView workbookViewId="0">
      <selection sqref="A1:XFD1048576"/>
    </sheetView>
  </sheetViews>
  <sheetFormatPr defaultRowHeight="13.5" x14ac:dyDescent="0.15"/>
  <cols>
    <col min="2" max="2" width="11.375" customWidth="1"/>
    <col min="8" max="8" width="12.75" style="2" bestFit="1" customWidth="1"/>
  </cols>
  <sheetData>
    <row r="1" spans="2:8" x14ac:dyDescent="0.15">
      <c r="B1" t="s">
        <v>0</v>
      </c>
      <c r="C1">
        <f>+サマリ!C10</f>
        <v>0</v>
      </c>
      <c r="D1" t="str">
        <f>+H6</f>
        <v>高安超え</v>
      </c>
    </row>
    <row r="5" spans="2:8" x14ac:dyDescent="0.15">
      <c r="B5" t="str">
        <f>[1]!CANDLE(C1,"","D","1","取引日付",B6,"D","1")</f>
        <v>CANDLE(C1,"","D","1","取引日付",B6,"D","1")</v>
      </c>
      <c r="C5" t="str">
        <f>[1]!CANDLE(C1,"","D","1","始値",C6,"D","1")</f>
        <v>CANDLE(C1,"","D","1","始値",C6,"D","1")</v>
      </c>
      <c r="D5" t="str">
        <f>[1]!CANDLE(C1,"","D","1","高値",D6,"D","1")</f>
        <v>CANDLE(C1,"","D","1","高値",D6,"D","1")</v>
      </c>
      <c r="E5" t="str">
        <f>[1]!CANDLE(C1,"","D","1","安値",E6,"D","1")</f>
        <v>CANDLE(C1,"","D","1","安値",E6,"D","1")</v>
      </c>
      <c r="F5" t="str">
        <f>[1]!CANDLE(C1,"","D","1","終値",F6,"D","1")</f>
        <v>CANDLE(C1,"","D","1","終値",F6,"D","1")</v>
      </c>
      <c r="G5" t="str">
        <f>[1]!CANDLE(C1,"","D","1","出来高",G6,"D","1")</f>
        <v>CANDLE(C1,"","D","1","出来高",G6,"D","1")</v>
      </c>
    </row>
    <row r="6" spans="2:8" x14ac:dyDescent="0.15">
      <c r="B6" s="1">
        <v>43105</v>
      </c>
      <c r="C6">
        <v>695.4</v>
      </c>
      <c r="D6">
        <v>710</v>
      </c>
      <c r="E6">
        <v>692.2</v>
      </c>
      <c r="F6">
        <v>710</v>
      </c>
      <c r="G6">
        <v>47113200</v>
      </c>
      <c r="H6" s="2" t="str">
        <f>IF(AND(AVERAGE(H7:H16)&gt;50000000,D6&lt;D7,E6&lt;E7),"高安割れ",IF(AND(AVERAGE(H7:H16)&gt;50000000,D6&gt;D7,E6&gt;E7),"高安超え",""))</f>
        <v>高安超え</v>
      </c>
    </row>
    <row r="7" spans="2:8" x14ac:dyDescent="0.15">
      <c r="B7" s="1">
        <v>43104</v>
      </c>
      <c r="C7">
        <v>676.9</v>
      </c>
      <c r="D7">
        <v>686.2</v>
      </c>
      <c r="E7">
        <v>674.7</v>
      </c>
      <c r="F7">
        <v>686.1</v>
      </c>
      <c r="G7">
        <v>30998900</v>
      </c>
      <c r="H7" s="2">
        <f>+F7*G7</f>
        <v>21268345290</v>
      </c>
    </row>
    <row r="8" spans="2:8" x14ac:dyDescent="0.15">
      <c r="B8" s="1">
        <v>43098</v>
      </c>
      <c r="C8">
        <v>660.5</v>
      </c>
      <c r="D8">
        <v>667.2</v>
      </c>
      <c r="E8">
        <v>660.4</v>
      </c>
      <c r="F8">
        <v>665.1</v>
      </c>
      <c r="G8">
        <v>11438400</v>
      </c>
      <c r="H8" s="2">
        <f t="shared" ref="H8:H16" si="0">+F8*G8</f>
        <v>7607679840</v>
      </c>
    </row>
    <row r="9" spans="2:8" x14ac:dyDescent="0.15">
      <c r="B9" s="1">
        <v>43097</v>
      </c>
      <c r="C9">
        <v>668.6</v>
      </c>
      <c r="D9">
        <v>669.4</v>
      </c>
      <c r="E9">
        <v>658.4</v>
      </c>
      <c r="F9">
        <v>659.5</v>
      </c>
      <c r="G9">
        <v>12345100</v>
      </c>
      <c r="H9" s="2">
        <f t="shared" si="0"/>
        <v>8141593450</v>
      </c>
    </row>
    <row r="10" spans="2:8" x14ac:dyDescent="0.15">
      <c r="B10" s="1">
        <v>43096</v>
      </c>
      <c r="C10">
        <v>662.6</v>
      </c>
      <c r="D10">
        <v>673.2</v>
      </c>
      <c r="E10">
        <v>662</v>
      </c>
      <c r="F10">
        <v>668.7</v>
      </c>
      <c r="G10">
        <v>12951500</v>
      </c>
      <c r="H10" s="2">
        <f t="shared" si="0"/>
        <v>8660668050</v>
      </c>
    </row>
    <row r="11" spans="2:8" x14ac:dyDescent="0.15">
      <c r="B11" s="1">
        <v>43095</v>
      </c>
      <c r="C11">
        <v>663</v>
      </c>
      <c r="D11">
        <v>664.6</v>
      </c>
      <c r="E11">
        <v>659.2</v>
      </c>
      <c r="F11">
        <v>660.1</v>
      </c>
      <c r="G11">
        <v>16958400</v>
      </c>
      <c r="H11" s="2">
        <f t="shared" si="0"/>
        <v>11194239840</v>
      </c>
    </row>
    <row r="12" spans="2:8" x14ac:dyDescent="0.15">
      <c r="B12" s="1">
        <v>43094</v>
      </c>
      <c r="C12">
        <v>674.6</v>
      </c>
      <c r="D12">
        <v>675</v>
      </c>
      <c r="E12">
        <v>663.6</v>
      </c>
      <c r="F12">
        <v>667.8</v>
      </c>
      <c r="G12">
        <v>10561500</v>
      </c>
      <c r="H12" s="2">
        <f t="shared" si="0"/>
        <v>7052969699.999999</v>
      </c>
    </row>
    <row r="13" spans="2:8" x14ac:dyDescent="0.15">
      <c r="B13" s="1">
        <v>43091</v>
      </c>
      <c r="C13">
        <v>672</v>
      </c>
      <c r="D13">
        <v>674.5</v>
      </c>
      <c r="E13">
        <v>670</v>
      </c>
      <c r="F13">
        <v>670.7</v>
      </c>
      <c r="G13">
        <v>14697200</v>
      </c>
      <c r="H13" s="2">
        <f t="shared" si="0"/>
        <v>9857412040</v>
      </c>
    </row>
    <row r="14" spans="2:8" x14ac:dyDescent="0.15">
      <c r="B14" s="1">
        <v>43090</v>
      </c>
      <c r="C14">
        <v>674.5</v>
      </c>
      <c r="D14">
        <v>675.3</v>
      </c>
      <c r="E14">
        <v>670.6</v>
      </c>
      <c r="F14">
        <v>672.9</v>
      </c>
      <c r="G14">
        <v>13416100</v>
      </c>
      <c r="H14" s="2">
        <f t="shared" si="0"/>
        <v>9027693690</v>
      </c>
    </row>
    <row r="15" spans="2:8" x14ac:dyDescent="0.15">
      <c r="B15" s="1">
        <v>43089</v>
      </c>
      <c r="C15">
        <v>673.7</v>
      </c>
      <c r="D15">
        <v>688.1</v>
      </c>
      <c r="E15">
        <v>671.4</v>
      </c>
      <c r="F15">
        <v>676.1</v>
      </c>
      <c r="G15">
        <v>21710400</v>
      </c>
      <c r="H15" s="2">
        <f t="shared" si="0"/>
        <v>14678401440</v>
      </c>
    </row>
    <row r="16" spans="2:8" x14ac:dyDescent="0.15">
      <c r="B16" s="1">
        <v>43088</v>
      </c>
      <c r="C16">
        <v>669</v>
      </c>
      <c r="D16">
        <v>678.3</v>
      </c>
      <c r="E16">
        <v>669</v>
      </c>
      <c r="F16">
        <v>675</v>
      </c>
      <c r="G16">
        <v>23217600</v>
      </c>
      <c r="H16" s="2">
        <f t="shared" si="0"/>
        <v>15671880000</v>
      </c>
    </row>
    <row r="17" spans="2:7" x14ac:dyDescent="0.15">
      <c r="B17" s="1">
        <v>43087</v>
      </c>
      <c r="C17">
        <v>667</v>
      </c>
      <c r="D17">
        <v>671.9</v>
      </c>
      <c r="E17">
        <v>665.4</v>
      </c>
      <c r="F17">
        <v>668.2</v>
      </c>
      <c r="G17">
        <v>21763700</v>
      </c>
    </row>
    <row r="18" spans="2:7" x14ac:dyDescent="0.15">
      <c r="B18" s="1">
        <v>43084</v>
      </c>
      <c r="C18">
        <v>663.1</v>
      </c>
      <c r="D18">
        <v>663.4</v>
      </c>
      <c r="E18">
        <v>655.1</v>
      </c>
      <c r="F18">
        <v>656.8</v>
      </c>
      <c r="G18">
        <v>22117900</v>
      </c>
    </row>
    <row r="19" spans="2:7" x14ac:dyDescent="0.15">
      <c r="B19" s="1">
        <v>43083</v>
      </c>
      <c r="C19">
        <v>671</v>
      </c>
      <c r="D19">
        <v>674.9</v>
      </c>
      <c r="E19">
        <v>665.3</v>
      </c>
      <c r="F19">
        <v>667</v>
      </c>
      <c r="G19">
        <v>18961300</v>
      </c>
    </row>
    <row r="20" spans="2:7" x14ac:dyDescent="0.15">
      <c r="B20" s="1">
        <v>43082</v>
      </c>
      <c r="C20">
        <v>675</v>
      </c>
      <c r="D20">
        <v>681.8</v>
      </c>
      <c r="E20">
        <v>668.6</v>
      </c>
      <c r="F20">
        <v>672.3</v>
      </c>
      <c r="G20">
        <v>25750800</v>
      </c>
    </row>
    <row r="21" spans="2:7" x14ac:dyDescent="0.15">
      <c r="B21" s="1">
        <v>43081</v>
      </c>
      <c r="C21">
        <v>663.1</v>
      </c>
      <c r="D21">
        <v>677.4</v>
      </c>
      <c r="E21">
        <v>663.1</v>
      </c>
      <c r="F21">
        <v>671.2</v>
      </c>
      <c r="G21">
        <v>21481600</v>
      </c>
    </row>
    <row r="22" spans="2:7" x14ac:dyDescent="0.15">
      <c r="B22" s="1">
        <v>43080</v>
      </c>
      <c r="C22">
        <v>665.4</v>
      </c>
      <c r="D22">
        <v>666.8</v>
      </c>
      <c r="E22">
        <v>662.1</v>
      </c>
      <c r="F22">
        <v>663.5</v>
      </c>
      <c r="G22">
        <v>15842700</v>
      </c>
    </row>
    <row r="23" spans="2:7" x14ac:dyDescent="0.15">
      <c r="B23" s="1">
        <v>43077</v>
      </c>
      <c r="C23">
        <v>659</v>
      </c>
      <c r="D23">
        <v>665.7</v>
      </c>
      <c r="E23">
        <v>658.4</v>
      </c>
      <c r="F23">
        <v>664.3</v>
      </c>
      <c r="G23">
        <v>20618500</v>
      </c>
    </row>
    <row r="24" spans="2:7" x14ac:dyDescent="0.15">
      <c r="B24" s="1">
        <v>42835</v>
      </c>
      <c r="C24">
        <v>656.3</v>
      </c>
      <c r="D24">
        <v>668.7</v>
      </c>
      <c r="E24">
        <v>653.4</v>
      </c>
      <c r="F24">
        <v>665.1</v>
      </c>
      <c r="G24">
        <v>16147500</v>
      </c>
    </row>
    <row r="25" spans="2:7" x14ac:dyDescent="0.15">
      <c r="B25" s="1">
        <v>42797</v>
      </c>
      <c r="C25">
        <v>748</v>
      </c>
      <c r="D25">
        <v>752.9</v>
      </c>
      <c r="E25">
        <v>743.2</v>
      </c>
      <c r="F25">
        <v>748.9</v>
      </c>
      <c r="G25">
        <v>14642900</v>
      </c>
    </row>
    <row r="26" spans="2:7" x14ac:dyDescent="0.15">
      <c r="B26" s="1">
        <v>42796</v>
      </c>
      <c r="C26">
        <v>760</v>
      </c>
      <c r="D26">
        <v>766</v>
      </c>
      <c r="E26">
        <v>752</v>
      </c>
      <c r="F26">
        <v>753.1</v>
      </c>
      <c r="G26">
        <v>22753600</v>
      </c>
    </row>
    <row r="27" spans="2:7" x14ac:dyDescent="0.15">
      <c r="B27" s="1">
        <v>42795</v>
      </c>
      <c r="C27">
        <v>735.9</v>
      </c>
      <c r="D27">
        <v>743</v>
      </c>
      <c r="E27">
        <v>727</v>
      </c>
      <c r="F27">
        <v>741.9</v>
      </c>
      <c r="G27">
        <v>15037100</v>
      </c>
    </row>
    <row r="28" spans="2:7" x14ac:dyDescent="0.15">
      <c r="B28" s="1">
        <v>42794</v>
      </c>
      <c r="C28">
        <v>723.4</v>
      </c>
      <c r="D28">
        <v>737.6</v>
      </c>
      <c r="E28">
        <v>723.4</v>
      </c>
      <c r="F28">
        <v>729.3</v>
      </c>
      <c r="G28">
        <v>16367100</v>
      </c>
    </row>
    <row r="29" spans="2:7" x14ac:dyDescent="0.15">
      <c r="B29" s="1">
        <v>42759</v>
      </c>
      <c r="C29">
        <v>690</v>
      </c>
      <c r="D29">
        <v>691.8</v>
      </c>
      <c r="E29">
        <v>682.1</v>
      </c>
      <c r="F29">
        <v>685.5</v>
      </c>
      <c r="G29">
        <v>16852100</v>
      </c>
    </row>
  </sheetData>
  <phoneticPr fontId="2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H29"/>
  <sheetViews>
    <sheetView workbookViewId="0">
      <selection activeCell="M7" sqref="M7"/>
    </sheetView>
  </sheetViews>
  <sheetFormatPr defaultRowHeight="13.5" x14ac:dyDescent="0.15"/>
  <cols>
    <col min="2" max="2" width="10.375" customWidth="1"/>
    <col min="8" max="8" width="12.75" style="2" bestFit="1" customWidth="1"/>
  </cols>
  <sheetData>
    <row r="1" spans="2:8" x14ac:dyDescent="0.15">
      <c r="B1" t="s">
        <v>0</v>
      </c>
      <c r="C1">
        <f>+サマリ!C11</f>
        <v>0</v>
      </c>
      <c r="D1" t="str">
        <f>+H6</f>
        <v>高安超え</v>
      </c>
    </row>
    <row r="5" spans="2:8" x14ac:dyDescent="0.15">
      <c r="B5" t="str">
        <f>[1]!CANDLE(C1,"","D","1","取引日付",B6,"D","1")</f>
        <v>CANDLE(C1,"","D","1","取引日付",B6,"D","1")</v>
      </c>
      <c r="C5" t="str">
        <f>[1]!CANDLE(C1,"","D","1","始値",C6,"D","1")</f>
        <v>CANDLE(C1,"","D","1","始値",C6,"D","1")</v>
      </c>
      <c r="D5" t="str">
        <f>[1]!CANDLE(C1,"","D","1","高値",D6,"D","1")</f>
        <v>CANDLE(C1,"","D","1","高値",D6,"D","1")</v>
      </c>
      <c r="E5" t="str">
        <f>[1]!CANDLE(C1,"","D","1","安値",E6,"D","1")</f>
        <v>CANDLE(C1,"","D","1","安値",E6,"D","1")</v>
      </c>
      <c r="F5" t="str">
        <f>[1]!CANDLE(C1,"","D","1","終値",F6,"D","1")</f>
        <v>CANDLE(C1,"","D","1","終値",F6,"D","1")</v>
      </c>
      <c r="G5" t="str">
        <f>[1]!CANDLE(C1,"","D","1","出来高",G6,"D","1")</f>
        <v>CANDLE(C1,"","D","1","出来高",G6,"D","1")</v>
      </c>
    </row>
    <row r="6" spans="2:8" x14ac:dyDescent="0.15">
      <c r="B6" s="1">
        <v>43105</v>
      </c>
      <c r="C6">
        <v>2330</v>
      </c>
      <c r="D6">
        <v>2334</v>
      </c>
      <c r="E6">
        <v>2300</v>
      </c>
      <c r="F6">
        <v>2326</v>
      </c>
      <c r="G6">
        <v>668900</v>
      </c>
      <c r="H6" s="2" t="str">
        <f>IF(AND(AVERAGE(H7:H16)&gt;50000000,D6&lt;D7,E6&lt;E7),"高安割れ",IF(AND(AVERAGE(H7:H16)&gt;50000000,D6&gt;D7,E6&gt;E7),"高安超え",""))</f>
        <v>高安超え</v>
      </c>
    </row>
    <row r="7" spans="2:8" x14ac:dyDescent="0.15">
      <c r="B7" s="1">
        <v>43104</v>
      </c>
      <c r="C7">
        <v>2283</v>
      </c>
      <c r="D7">
        <v>2314</v>
      </c>
      <c r="E7">
        <v>2273</v>
      </c>
      <c r="F7">
        <v>2314</v>
      </c>
      <c r="G7">
        <v>980900</v>
      </c>
      <c r="H7" s="2">
        <f>+F7*G7</f>
        <v>2269802600</v>
      </c>
    </row>
    <row r="8" spans="2:8" x14ac:dyDescent="0.15">
      <c r="B8" s="1">
        <v>43098</v>
      </c>
      <c r="C8">
        <v>2286</v>
      </c>
      <c r="D8">
        <v>2294</v>
      </c>
      <c r="E8">
        <v>2274</v>
      </c>
      <c r="F8">
        <v>2276</v>
      </c>
      <c r="G8">
        <v>423800</v>
      </c>
      <c r="H8" s="2">
        <f t="shared" ref="H8:H16" si="0">+F8*G8</f>
        <v>964568800</v>
      </c>
    </row>
    <row r="9" spans="2:8" x14ac:dyDescent="0.15">
      <c r="B9" s="1">
        <v>43097</v>
      </c>
      <c r="C9">
        <v>2313</v>
      </c>
      <c r="D9">
        <v>2316</v>
      </c>
      <c r="E9">
        <v>2283</v>
      </c>
      <c r="F9">
        <v>2285</v>
      </c>
      <c r="G9">
        <v>495100</v>
      </c>
      <c r="H9" s="2">
        <f t="shared" si="0"/>
        <v>1131303500</v>
      </c>
    </row>
    <row r="10" spans="2:8" x14ac:dyDescent="0.15">
      <c r="B10" s="1">
        <v>43096</v>
      </c>
      <c r="C10">
        <v>2329</v>
      </c>
      <c r="D10">
        <v>2330</v>
      </c>
      <c r="E10">
        <v>2305</v>
      </c>
      <c r="F10">
        <v>2313</v>
      </c>
      <c r="G10">
        <v>410600</v>
      </c>
      <c r="H10" s="2">
        <f t="shared" si="0"/>
        <v>949717800</v>
      </c>
    </row>
    <row r="11" spans="2:8" x14ac:dyDescent="0.15">
      <c r="B11" s="1">
        <v>43095</v>
      </c>
      <c r="C11">
        <v>2321</v>
      </c>
      <c r="D11">
        <v>2334</v>
      </c>
      <c r="E11">
        <v>2318</v>
      </c>
      <c r="F11">
        <v>2327</v>
      </c>
      <c r="G11">
        <v>426600</v>
      </c>
      <c r="H11" s="2">
        <f t="shared" si="0"/>
        <v>992698200</v>
      </c>
    </row>
    <row r="12" spans="2:8" x14ac:dyDescent="0.15">
      <c r="B12" s="1">
        <v>43094</v>
      </c>
      <c r="C12">
        <v>2297</v>
      </c>
      <c r="D12">
        <v>2322</v>
      </c>
      <c r="E12">
        <v>2295</v>
      </c>
      <c r="F12">
        <v>2320</v>
      </c>
      <c r="G12">
        <v>304400</v>
      </c>
      <c r="H12" s="2">
        <f t="shared" si="0"/>
        <v>706208000</v>
      </c>
    </row>
    <row r="13" spans="2:8" x14ac:dyDescent="0.15">
      <c r="B13" s="1">
        <v>43091</v>
      </c>
      <c r="C13">
        <v>2284</v>
      </c>
      <c r="D13">
        <v>2306</v>
      </c>
      <c r="E13">
        <v>2281</v>
      </c>
      <c r="F13">
        <v>2305</v>
      </c>
      <c r="G13">
        <v>621900</v>
      </c>
      <c r="H13" s="2">
        <f t="shared" si="0"/>
        <v>1433479500</v>
      </c>
    </row>
    <row r="14" spans="2:8" x14ac:dyDescent="0.15">
      <c r="B14" s="1">
        <v>43090</v>
      </c>
      <c r="C14">
        <v>2271</v>
      </c>
      <c r="D14">
        <v>2289</v>
      </c>
      <c r="E14">
        <v>2256</v>
      </c>
      <c r="F14">
        <v>2284</v>
      </c>
      <c r="G14">
        <v>683400</v>
      </c>
      <c r="H14" s="2">
        <f t="shared" si="0"/>
        <v>1560885600</v>
      </c>
    </row>
    <row r="15" spans="2:8" x14ac:dyDescent="0.15">
      <c r="B15" s="1">
        <v>43089</v>
      </c>
      <c r="C15">
        <v>2294</v>
      </c>
      <c r="D15">
        <v>2299</v>
      </c>
      <c r="E15">
        <v>2278</v>
      </c>
      <c r="F15">
        <v>2281</v>
      </c>
      <c r="G15">
        <v>575100</v>
      </c>
      <c r="H15" s="2">
        <f t="shared" si="0"/>
        <v>1311803100</v>
      </c>
    </row>
    <row r="16" spans="2:8" x14ac:dyDescent="0.15">
      <c r="B16" s="1">
        <v>43088</v>
      </c>
      <c r="C16">
        <v>2319</v>
      </c>
      <c r="D16">
        <v>2319</v>
      </c>
      <c r="E16">
        <v>2291</v>
      </c>
      <c r="F16">
        <v>2299</v>
      </c>
      <c r="G16">
        <v>641100</v>
      </c>
      <c r="H16" s="2">
        <f t="shared" si="0"/>
        <v>1473888900</v>
      </c>
    </row>
    <row r="17" spans="2:7" x14ac:dyDescent="0.15">
      <c r="B17" s="1">
        <v>43087</v>
      </c>
      <c r="C17">
        <v>2300</v>
      </c>
      <c r="D17">
        <v>2321</v>
      </c>
      <c r="E17">
        <v>2293</v>
      </c>
      <c r="F17">
        <v>2314</v>
      </c>
      <c r="G17">
        <v>540200</v>
      </c>
    </row>
    <row r="18" spans="2:7" x14ac:dyDescent="0.15">
      <c r="B18" s="1">
        <v>43084</v>
      </c>
      <c r="C18">
        <v>2294</v>
      </c>
      <c r="D18">
        <v>2308</v>
      </c>
      <c r="E18">
        <v>2273</v>
      </c>
      <c r="F18">
        <v>2283</v>
      </c>
      <c r="G18">
        <v>1136200</v>
      </c>
    </row>
    <row r="19" spans="2:7" x14ac:dyDescent="0.15">
      <c r="B19" s="1">
        <v>43083</v>
      </c>
      <c r="C19">
        <v>2293</v>
      </c>
      <c r="D19">
        <v>2308</v>
      </c>
      <c r="E19">
        <v>2291</v>
      </c>
      <c r="F19">
        <v>2298</v>
      </c>
      <c r="G19">
        <v>561800</v>
      </c>
    </row>
    <row r="20" spans="2:7" x14ac:dyDescent="0.15">
      <c r="B20" s="1">
        <v>43082</v>
      </c>
      <c r="C20">
        <v>2296</v>
      </c>
      <c r="D20">
        <v>2300</v>
      </c>
      <c r="E20">
        <v>2286</v>
      </c>
      <c r="F20">
        <v>2293</v>
      </c>
      <c r="G20">
        <v>575700</v>
      </c>
    </row>
    <row r="21" spans="2:7" x14ac:dyDescent="0.15">
      <c r="B21" s="1">
        <v>43081</v>
      </c>
      <c r="C21">
        <v>2291</v>
      </c>
      <c r="D21">
        <v>2300</v>
      </c>
      <c r="E21">
        <v>2273</v>
      </c>
      <c r="F21">
        <v>2285</v>
      </c>
      <c r="G21">
        <v>612700</v>
      </c>
    </row>
    <row r="22" spans="2:7" x14ac:dyDescent="0.15">
      <c r="B22" s="1">
        <v>43080</v>
      </c>
      <c r="C22">
        <v>2284</v>
      </c>
      <c r="D22">
        <v>2292</v>
      </c>
      <c r="E22">
        <v>2258</v>
      </c>
      <c r="F22">
        <v>2289</v>
      </c>
      <c r="G22">
        <v>806500</v>
      </c>
    </row>
    <row r="23" spans="2:7" x14ac:dyDescent="0.15">
      <c r="B23" s="1">
        <v>43077</v>
      </c>
      <c r="C23">
        <v>2256</v>
      </c>
      <c r="D23">
        <v>2274</v>
      </c>
      <c r="E23">
        <v>2246</v>
      </c>
      <c r="F23">
        <v>2274</v>
      </c>
      <c r="G23">
        <v>1566900</v>
      </c>
    </row>
    <row r="24" spans="2:7" x14ac:dyDescent="0.15">
      <c r="B24" s="1">
        <v>42835</v>
      </c>
      <c r="C24">
        <v>1682</v>
      </c>
      <c r="D24">
        <v>1689</v>
      </c>
      <c r="E24">
        <v>1656</v>
      </c>
      <c r="F24">
        <v>1664</v>
      </c>
      <c r="G24">
        <v>451300</v>
      </c>
    </row>
    <row r="25" spans="2:7" x14ac:dyDescent="0.15">
      <c r="B25" s="1">
        <v>42797</v>
      </c>
      <c r="C25">
        <v>1749</v>
      </c>
      <c r="D25">
        <v>1750</v>
      </c>
      <c r="E25">
        <v>1716</v>
      </c>
      <c r="F25">
        <v>1717</v>
      </c>
      <c r="G25">
        <v>817700</v>
      </c>
    </row>
    <row r="26" spans="2:7" x14ac:dyDescent="0.15">
      <c r="B26" s="1">
        <v>42796</v>
      </c>
      <c r="C26">
        <v>1731</v>
      </c>
      <c r="D26">
        <v>1750</v>
      </c>
      <c r="E26">
        <v>1722</v>
      </c>
      <c r="F26">
        <v>1746</v>
      </c>
      <c r="G26">
        <v>853800</v>
      </c>
    </row>
    <row r="27" spans="2:7" x14ac:dyDescent="0.15">
      <c r="B27" s="1">
        <v>42795</v>
      </c>
      <c r="C27">
        <v>1715</v>
      </c>
      <c r="D27">
        <v>1733</v>
      </c>
      <c r="E27">
        <v>1704</v>
      </c>
      <c r="F27">
        <v>1718</v>
      </c>
      <c r="G27">
        <v>879800</v>
      </c>
    </row>
    <row r="28" spans="2:7" x14ac:dyDescent="0.15">
      <c r="B28" s="1">
        <v>42794</v>
      </c>
      <c r="C28">
        <v>1683</v>
      </c>
      <c r="D28">
        <v>1707</v>
      </c>
      <c r="E28">
        <v>1677</v>
      </c>
      <c r="F28">
        <v>1689</v>
      </c>
      <c r="G28">
        <v>888900</v>
      </c>
    </row>
    <row r="29" spans="2:7" x14ac:dyDescent="0.15">
      <c r="B29" s="1">
        <v>42759</v>
      </c>
      <c r="C29">
        <v>1688</v>
      </c>
      <c r="D29">
        <v>1701</v>
      </c>
      <c r="E29">
        <v>1685</v>
      </c>
      <c r="F29">
        <v>1692</v>
      </c>
      <c r="G29">
        <v>710300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サマリ</vt:lpstr>
      <vt:lpstr>11</vt:lpstr>
      <vt:lpstr>12</vt:lpstr>
      <vt:lpstr>13</vt:lpstr>
      <vt:lpstr>14</vt:lpstr>
      <vt:lpstr>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2018-01-19T01:41:40Z</dcterms:modified>
</cp:coreProperties>
</file>